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ssistant Dist. Accountant - New\Financial Statements\Cash Flow\2023-24\"/>
    </mc:Choice>
  </mc:AlternateContent>
  <xr:revisionPtr revIDLastSave="0" documentId="13_ncr:1_{31413549-67CB-4B68-BFFC-232B5C94E126}" xr6:coauthVersionLast="36" xr6:coauthVersionMax="36" xr10:uidLastSave="{00000000-0000-0000-0000-000000000000}"/>
  <bookViews>
    <workbookView xWindow="22200" yWindow="0" windowWidth="37290" windowHeight="17910" xr2:uid="{00000000-000D-0000-FFFF-FFFF00000000}"/>
  </bookViews>
  <sheets>
    <sheet name="5.31.24" sheetId="12" r:id="rId1"/>
    <sheet name="4.30.24" sheetId="11" r:id="rId2"/>
    <sheet name="2.29.24" sheetId="10" r:id="rId3"/>
    <sheet name="1.31.24" sheetId="8" r:id="rId4"/>
    <sheet name="12.31.23" sheetId="9" r:id="rId5"/>
    <sheet name="11.30.23" sheetId="7" r:id="rId6"/>
    <sheet name="10.31.23" sheetId="6" r:id="rId7"/>
    <sheet name="9.30.23" sheetId="5" r:id="rId8"/>
    <sheet name="8.31.23" sheetId="2" r:id="rId9"/>
    <sheet name="7.30.23" sheetId="4" r:id="rId10"/>
  </sheets>
  <definedNames>
    <definedName name="_xlnm.Print_Area" localSheetId="3">'1.31.24'!$A$1:$P$65</definedName>
    <definedName name="_xlnm.Print_Area" localSheetId="6">'10.31.23'!$A$1:$P$63</definedName>
    <definedName name="_xlnm.Print_Area" localSheetId="5">'11.30.23'!$A$1:$P$65</definedName>
    <definedName name="_xlnm.Print_Area" localSheetId="4">'12.31.23'!$A$1:$P$65</definedName>
    <definedName name="_xlnm.Print_Area" localSheetId="2">'2.29.24'!$A$1:$P$65</definedName>
    <definedName name="_xlnm.Print_Area" localSheetId="1">'4.30.24'!$A$1:$P$65</definedName>
    <definedName name="_xlnm.Print_Area" localSheetId="0">'5.31.24'!$A$1:$P$65</definedName>
    <definedName name="_xlnm.Print_Area" localSheetId="9">'7.30.23'!$A$1:$P$62</definedName>
    <definedName name="_xlnm.Print_Area" localSheetId="8">'8.31.23'!$A$1:$P$63</definedName>
    <definedName name="_xlnm.Print_Area" localSheetId="7">'9.30.23'!$A$1:$P$63</definedName>
  </definedNames>
  <calcPr calcId="191029"/>
</workbook>
</file>

<file path=xl/calcChain.xml><?xml version="1.0" encoding="utf-8"?>
<calcChain xmlns="http://schemas.openxmlformats.org/spreadsheetml/2006/main">
  <c r="N38" i="12" l="1"/>
  <c r="O35" i="12"/>
  <c r="O5" i="12"/>
  <c r="O6" i="12"/>
  <c r="O37" i="12" l="1"/>
  <c r="O42" i="12"/>
  <c r="O41" i="12"/>
  <c r="O40" i="12"/>
  <c r="O39" i="12"/>
  <c r="O38" i="12"/>
  <c r="O16" i="12"/>
  <c r="O15" i="12"/>
  <c r="O14" i="12"/>
  <c r="O13" i="12"/>
  <c r="O12" i="12"/>
  <c r="O11" i="12"/>
  <c r="O10" i="12"/>
  <c r="O17" i="12" s="1"/>
  <c r="O9" i="12"/>
  <c r="O8" i="12"/>
  <c r="O7" i="12"/>
  <c r="O33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L63" i="12"/>
  <c r="L45" i="12"/>
  <c r="L35" i="12"/>
  <c r="L47" i="12" s="1"/>
  <c r="M63" i="12"/>
  <c r="K63" i="12"/>
  <c r="J63" i="12"/>
  <c r="I63" i="12"/>
  <c r="H63" i="12"/>
  <c r="G63" i="12"/>
  <c r="F63" i="12"/>
  <c r="E63" i="12"/>
  <c r="D63" i="12"/>
  <c r="C63" i="12"/>
  <c r="E47" i="12"/>
  <c r="M45" i="12"/>
  <c r="K45" i="12"/>
  <c r="J45" i="12"/>
  <c r="I45" i="12"/>
  <c r="H45" i="12"/>
  <c r="G45" i="12"/>
  <c r="F45" i="12"/>
  <c r="E45" i="12"/>
  <c r="D45" i="12"/>
  <c r="C45" i="12"/>
  <c r="N44" i="12"/>
  <c r="P44" i="12" s="1"/>
  <c r="R44" i="12" s="1"/>
  <c r="N43" i="12"/>
  <c r="N42" i="12"/>
  <c r="N41" i="12"/>
  <c r="N40" i="12"/>
  <c r="N39" i="12"/>
  <c r="N37" i="12"/>
  <c r="R36" i="12"/>
  <c r="M35" i="12"/>
  <c r="M47" i="12" s="1"/>
  <c r="K35" i="12"/>
  <c r="J35" i="12"/>
  <c r="I35" i="12"/>
  <c r="I47" i="12" s="1"/>
  <c r="H35" i="12"/>
  <c r="H47" i="12" s="1"/>
  <c r="G35" i="12"/>
  <c r="G47" i="12" s="1"/>
  <c r="F35" i="12"/>
  <c r="F47" i="12" s="1"/>
  <c r="E35" i="12"/>
  <c r="D35" i="12"/>
  <c r="D47" i="12" s="1"/>
  <c r="C35" i="12"/>
  <c r="C47" i="12" s="1"/>
  <c r="N33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6" i="12"/>
  <c r="N15" i="12"/>
  <c r="N14" i="12"/>
  <c r="N13" i="12"/>
  <c r="N12" i="12"/>
  <c r="N11" i="12"/>
  <c r="N10" i="12"/>
  <c r="N9" i="12"/>
  <c r="N8" i="12"/>
  <c r="N7" i="12"/>
  <c r="N6" i="12"/>
  <c r="N5" i="12"/>
  <c r="P5" i="12" s="1"/>
  <c r="R5" i="12" s="1"/>
  <c r="O45" i="12" l="1"/>
  <c r="O34" i="12"/>
  <c r="P40" i="12"/>
  <c r="R40" i="12" s="1"/>
  <c r="C65" i="12"/>
  <c r="D3" i="12" s="1"/>
  <c r="N17" i="12"/>
  <c r="N45" i="12"/>
  <c r="D65" i="12"/>
  <c r="E3" i="12" s="1"/>
  <c r="E65" i="12" s="1"/>
  <c r="F3" i="12" s="1"/>
  <c r="F65" i="12" s="1"/>
  <c r="G3" i="12" s="1"/>
  <c r="G65" i="12" s="1"/>
  <c r="H3" i="12" s="1"/>
  <c r="H65" i="12" s="1"/>
  <c r="I3" i="12" s="1"/>
  <c r="I65" i="12" s="1"/>
  <c r="J3" i="12" s="1"/>
  <c r="P19" i="12"/>
  <c r="R19" i="12" s="1"/>
  <c r="P30" i="12"/>
  <c r="R30" i="12" s="1"/>
  <c r="P38" i="12"/>
  <c r="R38" i="12" s="1"/>
  <c r="P28" i="12"/>
  <c r="R28" i="12" s="1"/>
  <c r="P33" i="12"/>
  <c r="R33" i="12" s="1"/>
  <c r="P12" i="12"/>
  <c r="R12" i="12" s="1"/>
  <c r="P14" i="12"/>
  <c r="R14" i="12" s="1"/>
  <c r="N34" i="12"/>
  <c r="P25" i="12"/>
  <c r="R25" i="12" s="1"/>
  <c r="P27" i="12"/>
  <c r="R27" i="12" s="1"/>
  <c r="P41" i="12"/>
  <c r="R41" i="12" s="1"/>
  <c r="P15" i="12"/>
  <c r="R15" i="12" s="1"/>
  <c r="N35" i="12"/>
  <c r="N47" i="12" s="1"/>
  <c r="J47" i="12"/>
  <c r="P8" i="12"/>
  <c r="R8" i="12" s="1"/>
  <c r="P21" i="12"/>
  <c r="R21" i="12" s="1"/>
  <c r="P18" i="12"/>
  <c r="R18" i="12" s="1"/>
  <c r="P31" i="12"/>
  <c r="R31" i="12" s="1"/>
  <c r="P11" i="12"/>
  <c r="R11" i="12" s="1"/>
  <c r="P9" i="12"/>
  <c r="R9" i="12" s="1"/>
  <c r="P22" i="12"/>
  <c r="R22" i="12" s="1"/>
  <c r="K47" i="12"/>
  <c r="P13" i="12"/>
  <c r="R13" i="12" s="1"/>
  <c r="P42" i="12"/>
  <c r="R42" i="12" s="1"/>
  <c r="P26" i="12"/>
  <c r="R26" i="12" s="1"/>
  <c r="P39" i="12"/>
  <c r="R39" i="12" s="1"/>
  <c r="P16" i="12"/>
  <c r="R16" i="12" s="1"/>
  <c r="P29" i="12"/>
  <c r="R29" i="12" s="1"/>
  <c r="O42" i="11"/>
  <c r="N42" i="11"/>
  <c r="O41" i="11"/>
  <c r="N41" i="11"/>
  <c r="O40" i="11"/>
  <c r="N40" i="11"/>
  <c r="O39" i="11"/>
  <c r="N39" i="11"/>
  <c r="O38" i="11"/>
  <c r="N38" i="11"/>
  <c r="O37" i="11"/>
  <c r="N37" i="11"/>
  <c r="O33" i="11"/>
  <c r="N33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9" i="11"/>
  <c r="N19" i="11"/>
  <c r="O18" i="11"/>
  <c r="N18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K63" i="11"/>
  <c r="K45" i="11"/>
  <c r="K35" i="11"/>
  <c r="M6" i="11"/>
  <c r="J63" i="11"/>
  <c r="J45" i="11"/>
  <c r="J35" i="11"/>
  <c r="J47" i="11" s="1"/>
  <c r="L63" i="11"/>
  <c r="I63" i="11"/>
  <c r="H63" i="11"/>
  <c r="G63" i="11"/>
  <c r="F63" i="11"/>
  <c r="E63" i="11"/>
  <c r="D63" i="11"/>
  <c r="C63" i="11"/>
  <c r="D47" i="11"/>
  <c r="L45" i="11"/>
  <c r="I45" i="11"/>
  <c r="H45" i="11"/>
  <c r="G45" i="11"/>
  <c r="F45" i="11"/>
  <c r="E45" i="11"/>
  <c r="D45" i="11"/>
  <c r="C45" i="11"/>
  <c r="M44" i="11"/>
  <c r="P44" i="11" s="1"/>
  <c r="R44" i="11" s="1"/>
  <c r="M43" i="11"/>
  <c r="M42" i="11"/>
  <c r="M41" i="11"/>
  <c r="M40" i="11"/>
  <c r="M39" i="11"/>
  <c r="M38" i="11"/>
  <c r="M37" i="11"/>
  <c r="R36" i="11"/>
  <c r="L35" i="11"/>
  <c r="I35" i="11"/>
  <c r="H35" i="11"/>
  <c r="G35" i="11"/>
  <c r="F35" i="11"/>
  <c r="F47" i="11" s="1"/>
  <c r="E35" i="11"/>
  <c r="E47" i="11" s="1"/>
  <c r="D35" i="11"/>
  <c r="C35" i="11"/>
  <c r="C47" i="11" s="1"/>
  <c r="M33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6" i="11"/>
  <c r="M15" i="11"/>
  <c r="M14" i="11"/>
  <c r="M13" i="11"/>
  <c r="M12" i="11"/>
  <c r="M11" i="11"/>
  <c r="M10" i="11"/>
  <c r="M9" i="11"/>
  <c r="M8" i="11"/>
  <c r="M7" i="11"/>
  <c r="M5" i="11"/>
  <c r="P5" i="11" s="1"/>
  <c r="P17" i="12" l="1"/>
  <c r="P7" i="12"/>
  <c r="R7" i="12" s="1"/>
  <c r="P20" i="12"/>
  <c r="R20" i="12" s="1"/>
  <c r="P23" i="12"/>
  <c r="R23" i="12" s="1"/>
  <c r="P24" i="12"/>
  <c r="R24" i="12" s="1"/>
  <c r="P10" i="12"/>
  <c r="R10" i="12" s="1"/>
  <c r="J65" i="12"/>
  <c r="P6" i="12"/>
  <c r="R6" i="12" s="1"/>
  <c r="P37" i="12"/>
  <c r="K47" i="11"/>
  <c r="G47" i="11"/>
  <c r="P7" i="11"/>
  <c r="R7" i="11" s="1"/>
  <c r="L47" i="11"/>
  <c r="I47" i="11"/>
  <c r="P27" i="11"/>
  <c r="R27" i="11" s="1"/>
  <c r="P11" i="11"/>
  <c r="R11" i="11" s="1"/>
  <c r="P6" i="11"/>
  <c r="R6" i="11" s="1"/>
  <c r="P20" i="11"/>
  <c r="R20" i="11" s="1"/>
  <c r="M45" i="11"/>
  <c r="M35" i="11"/>
  <c r="C65" i="11"/>
  <c r="D3" i="11" s="1"/>
  <c r="D65" i="11" s="1"/>
  <c r="E3" i="11" s="1"/>
  <c r="E65" i="11" s="1"/>
  <c r="F3" i="11" s="1"/>
  <c r="F65" i="11" s="1"/>
  <c r="G3" i="11" s="1"/>
  <c r="G65" i="11" s="1"/>
  <c r="H3" i="11" s="1"/>
  <c r="M34" i="11"/>
  <c r="M17" i="11"/>
  <c r="H47" i="11"/>
  <c r="O42" i="10"/>
  <c r="N40" i="10"/>
  <c r="M40" i="10"/>
  <c r="L40" i="10"/>
  <c r="O39" i="10"/>
  <c r="N39" i="10"/>
  <c r="M39" i="10"/>
  <c r="L39" i="10"/>
  <c r="O38" i="10"/>
  <c r="M31" i="10"/>
  <c r="L31" i="10"/>
  <c r="M29" i="10"/>
  <c r="N27" i="10"/>
  <c r="M27" i="10"/>
  <c r="L27" i="10"/>
  <c r="N24" i="10"/>
  <c r="M24" i="10"/>
  <c r="L24" i="10"/>
  <c r="M22" i="10"/>
  <c r="L22" i="10"/>
  <c r="M20" i="10"/>
  <c r="L20" i="10"/>
  <c r="M18" i="10"/>
  <c r="L18" i="10"/>
  <c r="N15" i="10"/>
  <c r="M15" i="10"/>
  <c r="M12" i="10"/>
  <c r="L12" i="10"/>
  <c r="N11" i="10"/>
  <c r="M11" i="10"/>
  <c r="N10" i="10"/>
  <c r="L10" i="10"/>
  <c r="N6" i="10"/>
  <c r="M6" i="10"/>
  <c r="L6" i="10"/>
  <c r="I63" i="10"/>
  <c r="I45" i="10"/>
  <c r="I35" i="10"/>
  <c r="J63" i="10"/>
  <c r="H63" i="10"/>
  <c r="G63" i="10"/>
  <c r="F63" i="10"/>
  <c r="E63" i="10"/>
  <c r="D63" i="10"/>
  <c r="C63" i="10"/>
  <c r="J45" i="10"/>
  <c r="H45" i="10"/>
  <c r="G45" i="10"/>
  <c r="F45" i="10"/>
  <c r="E45" i="10"/>
  <c r="D45" i="10"/>
  <c r="C45" i="10"/>
  <c r="K44" i="10"/>
  <c r="P44" i="10" s="1"/>
  <c r="R44" i="10" s="1"/>
  <c r="K43" i="10"/>
  <c r="K42" i="10"/>
  <c r="N42" i="10" s="1"/>
  <c r="K41" i="10"/>
  <c r="N41" i="10" s="1"/>
  <c r="K40" i="10"/>
  <c r="O40" i="10" s="1"/>
  <c r="K39" i="10"/>
  <c r="K38" i="10"/>
  <c r="N38" i="10" s="1"/>
  <c r="K37" i="10"/>
  <c r="L37" i="10" s="1"/>
  <c r="R36" i="10"/>
  <c r="J35" i="10"/>
  <c r="H35" i="10"/>
  <c r="H47" i="10" s="1"/>
  <c r="G35" i="10"/>
  <c r="G47" i="10" s="1"/>
  <c r="F35" i="10"/>
  <c r="F47" i="10" s="1"/>
  <c r="E35" i="10"/>
  <c r="D35" i="10"/>
  <c r="D47" i="10" s="1"/>
  <c r="C35" i="10"/>
  <c r="C47" i="10" s="1"/>
  <c r="K33" i="10"/>
  <c r="O33" i="10" s="1"/>
  <c r="K31" i="10"/>
  <c r="O31" i="10" s="1"/>
  <c r="K30" i="10"/>
  <c r="O30" i="10" s="1"/>
  <c r="K29" i="10"/>
  <c r="O29" i="10" s="1"/>
  <c r="K28" i="10"/>
  <c r="O28" i="10" s="1"/>
  <c r="K27" i="10"/>
  <c r="O27" i="10" s="1"/>
  <c r="K26" i="10"/>
  <c r="N26" i="10" s="1"/>
  <c r="K25" i="10"/>
  <c r="L25" i="10" s="1"/>
  <c r="K24" i="10"/>
  <c r="O24" i="10" s="1"/>
  <c r="K23" i="10"/>
  <c r="O23" i="10" s="1"/>
  <c r="K22" i="10"/>
  <c r="O22" i="10" s="1"/>
  <c r="K21" i="10"/>
  <c r="L21" i="10" s="1"/>
  <c r="K20" i="10"/>
  <c r="O20" i="10" s="1"/>
  <c r="K19" i="10"/>
  <c r="O19" i="10" s="1"/>
  <c r="K18" i="10"/>
  <c r="O18" i="10" s="1"/>
  <c r="K16" i="10"/>
  <c r="L16" i="10" s="1"/>
  <c r="K15" i="10"/>
  <c r="O15" i="10" s="1"/>
  <c r="K14" i="10"/>
  <c r="M14" i="10" s="1"/>
  <c r="K13" i="10"/>
  <c r="O13" i="10" s="1"/>
  <c r="K12" i="10"/>
  <c r="O12" i="10" s="1"/>
  <c r="K11" i="10"/>
  <c r="O11" i="10" s="1"/>
  <c r="K10" i="10"/>
  <c r="O10" i="10" s="1"/>
  <c r="K9" i="10"/>
  <c r="O9" i="10" s="1"/>
  <c r="K8" i="10"/>
  <c r="L8" i="10" s="1"/>
  <c r="K7" i="10"/>
  <c r="O7" i="10" s="1"/>
  <c r="K6" i="10"/>
  <c r="O6" i="10" s="1"/>
  <c r="K5" i="10"/>
  <c r="P5" i="10" s="1"/>
  <c r="O47" i="12" l="1"/>
  <c r="K3" i="12"/>
  <c r="K65" i="12" s="1"/>
  <c r="P45" i="12"/>
  <c r="R37" i="12"/>
  <c r="P34" i="12"/>
  <c r="P35" i="12" s="1"/>
  <c r="P18" i="11"/>
  <c r="R18" i="11" s="1"/>
  <c r="P15" i="11"/>
  <c r="R15" i="11" s="1"/>
  <c r="P28" i="11"/>
  <c r="R28" i="11" s="1"/>
  <c r="P33" i="11"/>
  <c r="R33" i="11" s="1"/>
  <c r="P21" i="11"/>
  <c r="R21" i="11" s="1"/>
  <c r="P30" i="11"/>
  <c r="R30" i="11" s="1"/>
  <c r="P13" i="11"/>
  <c r="R13" i="11" s="1"/>
  <c r="P14" i="11"/>
  <c r="R14" i="11" s="1"/>
  <c r="P38" i="11"/>
  <c r="R38" i="11" s="1"/>
  <c r="N17" i="11"/>
  <c r="P12" i="11"/>
  <c r="R12" i="11" s="1"/>
  <c r="M47" i="11"/>
  <c r="N34" i="11"/>
  <c r="P42" i="11"/>
  <c r="R42" i="11" s="1"/>
  <c r="O17" i="11"/>
  <c r="P40" i="11"/>
  <c r="R40" i="11" s="1"/>
  <c r="P25" i="11"/>
  <c r="R25" i="11" s="1"/>
  <c r="P26" i="11"/>
  <c r="R26" i="11" s="1"/>
  <c r="P8" i="11"/>
  <c r="R8" i="11" s="1"/>
  <c r="P10" i="11"/>
  <c r="R10" i="11" s="1"/>
  <c r="P41" i="11"/>
  <c r="R41" i="11" s="1"/>
  <c r="P9" i="11"/>
  <c r="R9" i="11" s="1"/>
  <c r="P24" i="11"/>
  <c r="R24" i="11" s="1"/>
  <c r="P31" i="11"/>
  <c r="R31" i="11" s="1"/>
  <c r="O34" i="11"/>
  <c r="H65" i="11"/>
  <c r="I3" i="11" s="1"/>
  <c r="P29" i="11"/>
  <c r="R29" i="11" s="1"/>
  <c r="P39" i="11"/>
  <c r="R39" i="11" s="1"/>
  <c r="N45" i="11"/>
  <c r="P23" i="11"/>
  <c r="R23" i="11" s="1"/>
  <c r="P19" i="11"/>
  <c r="R19" i="11" s="1"/>
  <c r="O45" i="11"/>
  <c r="P16" i="11"/>
  <c r="R16" i="11" s="1"/>
  <c r="P37" i="11"/>
  <c r="P22" i="11"/>
  <c r="R22" i="11" s="1"/>
  <c r="M41" i="10"/>
  <c r="M37" i="10"/>
  <c r="N37" i="10"/>
  <c r="O41" i="10"/>
  <c r="L38" i="10"/>
  <c r="L42" i="10"/>
  <c r="O37" i="10"/>
  <c r="M38" i="10"/>
  <c r="M42" i="10"/>
  <c r="L41" i="10"/>
  <c r="L33" i="10"/>
  <c r="M33" i="10"/>
  <c r="N33" i="10"/>
  <c r="N31" i="10"/>
  <c r="N30" i="10"/>
  <c r="L30" i="10"/>
  <c r="M30" i="10"/>
  <c r="L29" i="10"/>
  <c r="N29" i="10"/>
  <c r="N28" i="10"/>
  <c r="L28" i="10"/>
  <c r="M28" i="10"/>
  <c r="L26" i="10"/>
  <c r="M26" i="10"/>
  <c r="O26" i="10"/>
  <c r="O25" i="10"/>
  <c r="N25" i="10"/>
  <c r="M25" i="10"/>
  <c r="M23" i="10"/>
  <c r="N23" i="10"/>
  <c r="L23" i="10"/>
  <c r="N22" i="10"/>
  <c r="O21" i="10"/>
  <c r="M21" i="10"/>
  <c r="N21" i="10"/>
  <c r="N20" i="10"/>
  <c r="N19" i="10"/>
  <c r="L19" i="10"/>
  <c r="M19" i="10"/>
  <c r="N18" i="10"/>
  <c r="M16" i="10"/>
  <c r="N16" i="10"/>
  <c r="O16" i="10"/>
  <c r="L15" i="10"/>
  <c r="N14" i="10"/>
  <c r="L14" i="10"/>
  <c r="O14" i="10"/>
  <c r="M13" i="10"/>
  <c r="L13" i="10"/>
  <c r="P13" i="10" s="1"/>
  <c r="R13" i="10" s="1"/>
  <c r="N13" i="10"/>
  <c r="N12" i="10"/>
  <c r="L11" i="10"/>
  <c r="M10" i="10"/>
  <c r="L9" i="10"/>
  <c r="P9" i="10" s="1"/>
  <c r="R9" i="10" s="1"/>
  <c r="N9" i="10"/>
  <c r="M9" i="10"/>
  <c r="N8" i="10"/>
  <c r="M8" i="10"/>
  <c r="O8" i="10"/>
  <c r="N7" i="10"/>
  <c r="L7" i="10"/>
  <c r="M7" i="10"/>
  <c r="E47" i="10"/>
  <c r="I47" i="10"/>
  <c r="C65" i="10"/>
  <c r="D3" i="10" s="1"/>
  <c r="D65" i="10" s="1"/>
  <c r="E3" i="10" s="1"/>
  <c r="E65" i="10" s="1"/>
  <c r="F3" i="10" s="1"/>
  <c r="F65" i="10" s="1"/>
  <c r="G3" i="10" s="1"/>
  <c r="G65" i="10" s="1"/>
  <c r="H3" i="10" s="1"/>
  <c r="H65" i="10" s="1"/>
  <c r="I3" i="10" s="1"/>
  <c r="I65" i="10" s="1"/>
  <c r="J3" i="10" s="1"/>
  <c r="P40" i="10"/>
  <c r="R40" i="10" s="1"/>
  <c r="J47" i="10"/>
  <c r="K45" i="10"/>
  <c r="K34" i="10"/>
  <c r="K17" i="10"/>
  <c r="N45" i="10"/>
  <c r="K35" i="10"/>
  <c r="O65" i="8"/>
  <c r="L3" i="12" l="1"/>
  <c r="L65" i="12" s="1"/>
  <c r="M3" i="12" s="1"/>
  <c r="M65" i="12" s="1"/>
  <c r="O3" i="12" s="1"/>
  <c r="O65" i="12" s="1"/>
  <c r="P47" i="12"/>
  <c r="N35" i="11"/>
  <c r="N47" i="11" s="1"/>
  <c r="O35" i="11"/>
  <c r="O47" i="11" s="1"/>
  <c r="P17" i="11"/>
  <c r="P34" i="11"/>
  <c r="I65" i="11"/>
  <c r="R37" i="11"/>
  <c r="P45" i="11"/>
  <c r="M17" i="10"/>
  <c r="K47" i="10"/>
  <c r="M45" i="10"/>
  <c r="P37" i="10"/>
  <c r="R37" i="10" s="1"/>
  <c r="P39" i="10"/>
  <c r="R39" i="10" s="1"/>
  <c r="P42" i="10"/>
  <c r="R42" i="10" s="1"/>
  <c r="L45" i="10"/>
  <c r="J65" i="10"/>
  <c r="L3" i="10" s="1"/>
  <c r="O45" i="10"/>
  <c r="P22" i="10"/>
  <c r="R22" i="10" s="1"/>
  <c r="P10" i="10"/>
  <c r="R10" i="10" s="1"/>
  <c r="P24" i="10"/>
  <c r="R24" i="10" s="1"/>
  <c r="P15" i="10"/>
  <c r="R15" i="10" s="1"/>
  <c r="P31" i="10"/>
  <c r="R31" i="10" s="1"/>
  <c r="N17" i="10"/>
  <c r="P33" i="10"/>
  <c r="R33" i="10" s="1"/>
  <c r="P11" i="10"/>
  <c r="R11" i="10" s="1"/>
  <c r="P16" i="10"/>
  <c r="R16" i="10" s="1"/>
  <c r="P12" i="10"/>
  <c r="R12" i="10" s="1"/>
  <c r="P8" i="10"/>
  <c r="R8" i="10" s="1"/>
  <c r="P29" i="10"/>
  <c r="R29" i="10" s="1"/>
  <c r="P30" i="10"/>
  <c r="R30" i="10" s="1"/>
  <c r="P7" i="10"/>
  <c r="R7" i="10" s="1"/>
  <c r="P28" i="10"/>
  <c r="R28" i="10" s="1"/>
  <c r="M34" i="10"/>
  <c r="P27" i="10"/>
  <c r="R27" i="10" s="1"/>
  <c r="P25" i="10"/>
  <c r="R25" i="10" s="1"/>
  <c r="P26" i="10"/>
  <c r="R26" i="10" s="1"/>
  <c r="P23" i="10"/>
  <c r="R23" i="10" s="1"/>
  <c r="P21" i="10"/>
  <c r="R21" i="10" s="1"/>
  <c r="L17" i="10"/>
  <c r="P20" i="10"/>
  <c r="R20" i="10" s="1"/>
  <c r="P19" i="10"/>
  <c r="R19" i="10" s="1"/>
  <c r="O17" i="10"/>
  <c r="P38" i="10"/>
  <c r="R38" i="10" s="1"/>
  <c r="P41" i="10"/>
  <c r="R41" i="10" s="1"/>
  <c r="O34" i="10"/>
  <c r="N34" i="10"/>
  <c r="P14" i="10"/>
  <c r="R14" i="10" s="1"/>
  <c r="P6" i="10"/>
  <c r="R6" i="10" s="1"/>
  <c r="P18" i="10"/>
  <c r="R18" i="10" s="1"/>
  <c r="L34" i="10"/>
  <c r="R44" i="8"/>
  <c r="O42" i="8"/>
  <c r="N42" i="8"/>
  <c r="M42" i="8"/>
  <c r="L42" i="8"/>
  <c r="K42" i="8"/>
  <c r="O41" i="8"/>
  <c r="N41" i="8"/>
  <c r="M41" i="8"/>
  <c r="L41" i="8"/>
  <c r="K41" i="8"/>
  <c r="O40" i="8"/>
  <c r="N40" i="8"/>
  <c r="M40" i="8"/>
  <c r="L40" i="8"/>
  <c r="K40" i="8"/>
  <c r="O39" i="8"/>
  <c r="N39" i="8"/>
  <c r="M39" i="8"/>
  <c r="L39" i="8"/>
  <c r="K39" i="8"/>
  <c r="O38" i="8"/>
  <c r="N38" i="8"/>
  <c r="M38" i="8"/>
  <c r="L38" i="8"/>
  <c r="K38" i="8"/>
  <c r="O37" i="8"/>
  <c r="N37" i="8"/>
  <c r="M37" i="8"/>
  <c r="L37" i="8"/>
  <c r="K37" i="8"/>
  <c r="C65" i="9"/>
  <c r="D3" i="9" s="1"/>
  <c r="H63" i="9"/>
  <c r="G63" i="9"/>
  <c r="F63" i="9"/>
  <c r="E63" i="9"/>
  <c r="D63" i="9"/>
  <c r="C63" i="9"/>
  <c r="C47" i="9"/>
  <c r="H45" i="9"/>
  <c r="G45" i="9"/>
  <c r="F45" i="9"/>
  <c r="E45" i="9"/>
  <c r="D45" i="9"/>
  <c r="C45" i="9"/>
  <c r="I45" i="9" s="1"/>
  <c r="P44" i="9"/>
  <c r="R44" i="9" s="1"/>
  <c r="I44" i="9"/>
  <c r="I43" i="9"/>
  <c r="O42" i="9"/>
  <c r="N42" i="9"/>
  <c r="I42" i="9"/>
  <c r="M42" i="9" s="1"/>
  <c r="I41" i="9"/>
  <c r="L41" i="9" s="1"/>
  <c r="O40" i="9"/>
  <c r="L40" i="9"/>
  <c r="K40" i="9"/>
  <c r="J40" i="9"/>
  <c r="I40" i="9"/>
  <c r="N40" i="9" s="1"/>
  <c r="K39" i="9"/>
  <c r="J39" i="9"/>
  <c r="I39" i="9"/>
  <c r="N39" i="9" s="1"/>
  <c r="N38" i="9"/>
  <c r="M38" i="9"/>
  <c r="L38" i="9"/>
  <c r="I38" i="9"/>
  <c r="O37" i="9"/>
  <c r="N37" i="9"/>
  <c r="M37" i="9"/>
  <c r="L37" i="9"/>
  <c r="K37" i="9"/>
  <c r="P37" i="9" s="1"/>
  <c r="J37" i="9"/>
  <c r="I37" i="9"/>
  <c r="R36" i="9"/>
  <c r="H35" i="9"/>
  <c r="H47" i="9" s="1"/>
  <c r="G35" i="9"/>
  <c r="G47" i="9" s="1"/>
  <c r="F35" i="9"/>
  <c r="F47" i="9" s="1"/>
  <c r="E35" i="9"/>
  <c r="E47" i="9" s="1"/>
  <c r="D35" i="9"/>
  <c r="I35" i="9" s="1"/>
  <c r="I47" i="9" s="1"/>
  <c r="C35" i="9"/>
  <c r="I33" i="9"/>
  <c r="N33" i="9" s="1"/>
  <c r="O31" i="9"/>
  <c r="I31" i="9"/>
  <c r="N31" i="9" s="1"/>
  <c r="I30" i="9"/>
  <c r="K30" i="9" s="1"/>
  <c r="I29" i="9"/>
  <c r="K29" i="9" s="1"/>
  <c r="I28" i="9"/>
  <c r="N28" i="9" s="1"/>
  <c r="I27" i="9"/>
  <c r="M27" i="9" s="1"/>
  <c r="L26" i="9"/>
  <c r="K26" i="9"/>
  <c r="I26" i="9"/>
  <c r="O26" i="9" s="1"/>
  <c r="I25" i="9"/>
  <c r="O25" i="9" s="1"/>
  <c r="M24" i="9"/>
  <c r="I24" i="9"/>
  <c r="N24" i="9" s="1"/>
  <c r="O23" i="9"/>
  <c r="N23" i="9"/>
  <c r="L23" i="9"/>
  <c r="K23" i="9"/>
  <c r="I23" i="9"/>
  <c r="J23" i="9" s="1"/>
  <c r="I22" i="9"/>
  <c r="J22" i="9" s="1"/>
  <c r="I21" i="9"/>
  <c r="M21" i="9" s="1"/>
  <c r="I20" i="9"/>
  <c r="L20" i="9" s="1"/>
  <c r="I19" i="9"/>
  <c r="N19" i="9" s="1"/>
  <c r="I18" i="9"/>
  <c r="N18" i="9" s="1"/>
  <c r="N16" i="9"/>
  <c r="M16" i="9"/>
  <c r="L16" i="9"/>
  <c r="K16" i="9"/>
  <c r="J16" i="9"/>
  <c r="I16" i="9"/>
  <c r="O16" i="9" s="1"/>
  <c r="N15" i="9"/>
  <c r="M15" i="9"/>
  <c r="I15" i="9"/>
  <c r="O14" i="9"/>
  <c r="N14" i="9"/>
  <c r="M14" i="9"/>
  <c r="L14" i="9"/>
  <c r="K14" i="9"/>
  <c r="I14" i="9"/>
  <c r="J14" i="9" s="1"/>
  <c r="P14" i="9" s="1"/>
  <c r="R14" i="9" s="1"/>
  <c r="O13" i="9"/>
  <c r="I13" i="9"/>
  <c r="J13" i="9" s="1"/>
  <c r="O12" i="9"/>
  <c r="N12" i="9"/>
  <c r="I12" i="9"/>
  <c r="M12" i="9" s="1"/>
  <c r="I11" i="9"/>
  <c r="L11" i="9" s="1"/>
  <c r="O10" i="9"/>
  <c r="M10" i="9"/>
  <c r="L10" i="9"/>
  <c r="K10" i="9"/>
  <c r="J10" i="9"/>
  <c r="I10" i="9"/>
  <c r="N10" i="9" s="1"/>
  <c r="P10" i="9" s="1"/>
  <c r="R10" i="9" s="1"/>
  <c r="I9" i="9"/>
  <c r="N9" i="9" s="1"/>
  <c r="N8" i="9"/>
  <c r="M8" i="9"/>
  <c r="L8" i="9"/>
  <c r="I8" i="9"/>
  <c r="O7" i="9"/>
  <c r="N7" i="9"/>
  <c r="M7" i="9"/>
  <c r="L7" i="9"/>
  <c r="K7" i="9"/>
  <c r="J7" i="9"/>
  <c r="P7" i="9" s="1"/>
  <c r="R7" i="9" s="1"/>
  <c r="I7" i="9"/>
  <c r="O6" i="9"/>
  <c r="N6" i="9"/>
  <c r="I6" i="9"/>
  <c r="I5" i="9"/>
  <c r="P5" i="9" s="1"/>
  <c r="J3" i="11" l="1"/>
  <c r="J65" i="11"/>
  <c r="P35" i="11"/>
  <c r="P47" i="11"/>
  <c r="M35" i="10"/>
  <c r="M47" i="10" s="1"/>
  <c r="P17" i="10"/>
  <c r="O35" i="10"/>
  <c r="O47" i="10" s="1"/>
  <c r="N35" i="10"/>
  <c r="N47" i="10" s="1"/>
  <c r="L35" i="10"/>
  <c r="L47" i="10" s="1"/>
  <c r="P45" i="10"/>
  <c r="P34" i="10"/>
  <c r="J19" i="9"/>
  <c r="J25" i="9"/>
  <c r="P25" i="9" s="1"/>
  <c r="R25" i="9" s="1"/>
  <c r="M30" i="9"/>
  <c r="P19" i="9"/>
  <c r="R19" i="9" s="1"/>
  <c r="O33" i="9"/>
  <c r="M19" i="9"/>
  <c r="L30" i="9"/>
  <c r="O30" i="9"/>
  <c r="L19" i="9"/>
  <c r="O19" i="9"/>
  <c r="N30" i="9"/>
  <c r="L25" i="9"/>
  <c r="O21" i="9"/>
  <c r="M25" i="9"/>
  <c r="K25" i="9"/>
  <c r="N21" i="9"/>
  <c r="N34" i="9" s="1"/>
  <c r="N25" i="9"/>
  <c r="J31" i="9"/>
  <c r="O22" i="9"/>
  <c r="P23" i="9"/>
  <c r="R23" i="9" s="1"/>
  <c r="J33" i="9"/>
  <c r="M23" i="9"/>
  <c r="M26" i="9"/>
  <c r="K33" i="9"/>
  <c r="L33" i="9"/>
  <c r="M33" i="9"/>
  <c r="K19" i="9"/>
  <c r="O28" i="9"/>
  <c r="P16" i="9"/>
  <c r="R16" i="9" s="1"/>
  <c r="R37" i="9"/>
  <c r="L9" i="9"/>
  <c r="L18" i="9"/>
  <c r="L27" i="9"/>
  <c r="M39" i="9"/>
  <c r="M11" i="9"/>
  <c r="O18" i="9"/>
  <c r="K22" i="9"/>
  <c r="N27" i="9"/>
  <c r="L29" i="9"/>
  <c r="N11" i="9"/>
  <c r="L13" i="9"/>
  <c r="J15" i="9"/>
  <c r="P15" i="9" s="1"/>
  <c r="R15" i="9" s="1"/>
  <c r="N20" i="9"/>
  <c r="L22" i="9"/>
  <c r="P22" i="9" s="1"/>
  <c r="R22" i="9" s="1"/>
  <c r="N41" i="9"/>
  <c r="N45" i="9" s="1"/>
  <c r="D47" i="9"/>
  <c r="L6" i="9"/>
  <c r="J8" i="9"/>
  <c r="P8" i="9" s="1"/>
  <c r="R8" i="9" s="1"/>
  <c r="O11" i="9"/>
  <c r="M13" i="9"/>
  <c r="K15" i="9"/>
  <c r="I17" i="9"/>
  <c r="O20" i="9"/>
  <c r="M22" i="9"/>
  <c r="K24" i="9"/>
  <c r="N29" i="9"/>
  <c r="L31" i="9"/>
  <c r="J38" i="9"/>
  <c r="P38" i="9" s="1"/>
  <c r="O41" i="9"/>
  <c r="J11" i="9"/>
  <c r="P11" i="9" s="1"/>
  <c r="R11" i="9" s="1"/>
  <c r="K27" i="9"/>
  <c r="J41" i="9"/>
  <c r="K11" i="9"/>
  <c r="K20" i="9"/>
  <c r="K41" i="9"/>
  <c r="J6" i="9"/>
  <c r="O9" i="9"/>
  <c r="O17" i="9" s="1"/>
  <c r="K13" i="9"/>
  <c r="M20" i="9"/>
  <c r="O39" i="9"/>
  <c r="M41" i="9"/>
  <c r="K6" i="9"/>
  <c r="J24" i="9"/>
  <c r="O27" i="9"/>
  <c r="M29" i="9"/>
  <c r="K31" i="9"/>
  <c r="I34" i="9"/>
  <c r="P39" i="9"/>
  <c r="R39" i="9" s="1"/>
  <c r="M6" i="9"/>
  <c r="K8" i="9"/>
  <c r="N13" i="9"/>
  <c r="N17" i="9" s="1"/>
  <c r="L15" i="9"/>
  <c r="N22" i="9"/>
  <c r="L24" i="9"/>
  <c r="J26" i="9"/>
  <c r="O29" i="9"/>
  <c r="M31" i="9"/>
  <c r="K38" i="9"/>
  <c r="P41" i="9"/>
  <c r="R41" i="9" s="1"/>
  <c r="J28" i="9"/>
  <c r="J12" i="9"/>
  <c r="O15" i="9"/>
  <c r="J21" i="9"/>
  <c r="O24" i="9"/>
  <c r="K28" i="9"/>
  <c r="J42" i="9"/>
  <c r="O8" i="9"/>
  <c r="K12" i="9"/>
  <c r="K21" i="9"/>
  <c r="N26" i="9"/>
  <c r="L28" i="9"/>
  <c r="J30" i="9"/>
  <c r="O38" i="9"/>
  <c r="O45" i="9" s="1"/>
  <c r="M40" i="9"/>
  <c r="P40" i="9" s="1"/>
  <c r="R40" i="9" s="1"/>
  <c r="K42" i="9"/>
  <c r="K45" i="9" s="1"/>
  <c r="J9" i="9"/>
  <c r="P9" i="9" s="1"/>
  <c r="R9" i="9" s="1"/>
  <c r="L12" i="9"/>
  <c r="L21" i="9"/>
  <c r="M28" i="9"/>
  <c r="L42" i="9"/>
  <c r="P13" i="9"/>
  <c r="R13" i="9" s="1"/>
  <c r="J18" i="9"/>
  <c r="L39" i="9"/>
  <c r="L45" i="9" s="1"/>
  <c r="K9" i="9"/>
  <c r="K18" i="9"/>
  <c r="J27" i="9"/>
  <c r="J20" i="9"/>
  <c r="M9" i="9"/>
  <c r="M18" i="9"/>
  <c r="J29" i="9"/>
  <c r="P29" i="9" s="1"/>
  <c r="R29" i="9" s="1"/>
  <c r="K3" i="11" l="1"/>
  <c r="K65" i="11" s="1"/>
  <c r="L3" i="11" s="1"/>
  <c r="L65" i="11" s="1"/>
  <c r="N3" i="11" s="1"/>
  <c r="N65" i="11" s="1"/>
  <c r="O3" i="11" s="1"/>
  <c r="O65" i="11" s="1"/>
  <c r="P35" i="10"/>
  <c r="P47" i="10"/>
  <c r="L65" i="10"/>
  <c r="P31" i="9"/>
  <c r="R31" i="9" s="1"/>
  <c r="P28" i="9"/>
  <c r="R28" i="9" s="1"/>
  <c r="P24" i="9"/>
  <c r="R24" i="9" s="1"/>
  <c r="P30" i="9"/>
  <c r="R30" i="9" s="1"/>
  <c r="P33" i="9"/>
  <c r="R33" i="9" s="1"/>
  <c r="P20" i="9"/>
  <c r="R20" i="9" s="1"/>
  <c r="P27" i="9"/>
  <c r="R27" i="9" s="1"/>
  <c r="R38" i="9"/>
  <c r="P45" i="9"/>
  <c r="N35" i="9"/>
  <c r="N47" i="9" s="1"/>
  <c r="K34" i="9"/>
  <c r="K35" i="9" s="1"/>
  <c r="K47" i="9" s="1"/>
  <c r="P18" i="9"/>
  <c r="R18" i="9" s="1"/>
  <c r="P26" i="9"/>
  <c r="R26" i="9" s="1"/>
  <c r="K17" i="9"/>
  <c r="D65" i="9"/>
  <c r="E3" i="9" s="1"/>
  <c r="E65" i="9" s="1"/>
  <c r="F3" i="9" s="1"/>
  <c r="F65" i="9" s="1"/>
  <c r="G3" i="9" s="1"/>
  <c r="G65" i="9" s="1"/>
  <c r="H3" i="9" s="1"/>
  <c r="H65" i="9" s="1"/>
  <c r="J3" i="9" s="1"/>
  <c r="J34" i="9"/>
  <c r="P42" i="9"/>
  <c r="R42" i="9" s="1"/>
  <c r="J45" i="9"/>
  <c r="P21" i="9"/>
  <c r="R21" i="9" s="1"/>
  <c r="J17" i="9"/>
  <c r="P17" i="9" s="1"/>
  <c r="O34" i="9"/>
  <c r="O35" i="9" s="1"/>
  <c r="O47" i="9" s="1"/>
  <c r="P12" i="9"/>
  <c r="R12" i="9" s="1"/>
  <c r="M17" i="9"/>
  <c r="L17" i="9"/>
  <c r="L34" i="9"/>
  <c r="L35" i="9" s="1"/>
  <c r="L47" i="9" s="1"/>
  <c r="M34" i="9"/>
  <c r="M45" i="9"/>
  <c r="P6" i="9"/>
  <c r="R6" i="9" s="1"/>
  <c r="M3" i="10" l="1"/>
  <c r="M65" i="10" s="1"/>
  <c r="N3" i="10" s="1"/>
  <c r="N65" i="10" s="1"/>
  <c r="O3" i="10" s="1"/>
  <c r="O65" i="10" s="1"/>
  <c r="P34" i="9"/>
  <c r="P35" i="9" s="1"/>
  <c r="J35" i="9"/>
  <c r="J47" i="9" s="1"/>
  <c r="M35" i="9"/>
  <c r="M47" i="9" s="1"/>
  <c r="P47" i="9" l="1"/>
  <c r="J65" i="9"/>
  <c r="K3" i="9" s="1"/>
  <c r="K65" i="9" s="1"/>
  <c r="L3" i="9" s="1"/>
  <c r="L65" i="9" s="1"/>
  <c r="M3" i="9" s="1"/>
  <c r="M65" i="9" s="1"/>
  <c r="N3" i="9" s="1"/>
  <c r="N65" i="9" s="1"/>
  <c r="O3" i="9" s="1"/>
  <c r="O65" i="9" s="1"/>
  <c r="H47" i="8" l="1"/>
  <c r="H35" i="8"/>
  <c r="I35" i="8"/>
  <c r="I45" i="8"/>
  <c r="I63" i="8"/>
  <c r="H63" i="8"/>
  <c r="H45" i="8"/>
  <c r="I47" i="8" l="1"/>
  <c r="G35" i="8"/>
  <c r="G63" i="8"/>
  <c r="G45" i="8"/>
  <c r="F63" i="8"/>
  <c r="E63" i="8"/>
  <c r="D63" i="8"/>
  <c r="C63" i="8"/>
  <c r="F45" i="8"/>
  <c r="E45" i="8"/>
  <c r="D45" i="8"/>
  <c r="C45" i="8"/>
  <c r="J44" i="8"/>
  <c r="P44" i="8" s="1"/>
  <c r="J43" i="8"/>
  <c r="R36" i="8"/>
  <c r="F35" i="8"/>
  <c r="E35" i="8"/>
  <c r="D35" i="8"/>
  <c r="J5" i="8"/>
  <c r="P5" i="8" s="1"/>
  <c r="F47" i="8" l="1"/>
  <c r="D47" i="8"/>
  <c r="G47" i="8"/>
  <c r="E47" i="8"/>
  <c r="C35" i="8"/>
  <c r="H43" i="7"/>
  <c r="C47" i="8" l="1"/>
  <c r="C65" i="8" s="1"/>
  <c r="D3" i="8" s="1"/>
  <c r="D65" i="8" s="1"/>
  <c r="E3" i="8" s="1"/>
  <c r="E65" i="8" s="1"/>
  <c r="F3" i="8" s="1"/>
  <c r="F65" i="8" s="1"/>
  <c r="G3" i="8" s="1"/>
  <c r="H6" i="7"/>
  <c r="K6" i="7" s="1"/>
  <c r="H7" i="7"/>
  <c r="M7" i="7" s="1"/>
  <c r="H8" i="7"/>
  <c r="K8" i="7" s="1"/>
  <c r="H9" i="7"/>
  <c r="H10" i="7"/>
  <c r="H11" i="7"/>
  <c r="J11" i="7" s="1"/>
  <c r="H12" i="7"/>
  <c r="M12" i="7" s="1"/>
  <c r="H13" i="7"/>
  <c r="I13" i="7" s="1"/>
  <c r="H14" i="7"/>
  <c r="H15" i="7"/>
  <c r="K15" i="7" s="1"/>
  <c r="H16" i="7"/>
  <c r="N16" i="7" s="1"/>
  <c r="H33" i="7"/>
  <c r="O33" i="7" s="1"/>
  <c r="H31" i="7"/>
  <c r="L31" i="7" s="1"/>
  <c r="H30" i="7"/>
  <c r="H29" i="7"/>
  <c r="J29" i="7" s="1"/>
  <c r="H28" i="7"/>
  <c r="H27" i="7"/>
  <c r="K27" i="7" s="1"/>
  <c r="H26" i="7"/>
  <c r="O26" i="7" s="1"/>
  <c r="H25" i="7"/>
  <c r="J25" i="7" s="1"/>
  <c r="H24" i="7"/>
  <c r="M24" i="7" s="1"/>
  <c r="H23" i="7"/>
  <c r="J23" i="7" s="1"/>
  <c r="H22" i="7"/>
  <c r="O22" i="7" s="1"/>
  <c r="H21" i="7"/>
  <c r="N21" i="7" s="1"/>
  <c r="H20" i="7"/>
  <c r="N20" i="7" s="1"/>
  <c r="H19" i="7"/>
  <c r="O19" i="7" s="1"/>
  <c r="H18" i="7"/>
  <c r="M39" i="7"/>
  <c r="L39" i="7"/>
  <c r="K39" i="7"/>
  <c r="J39" i="7"/>
  <c r="I39" i="7"/>
  <c r="O38" i="7"/>
  <c r="H5" i="7"/>
  <c r="P5" i="7" s="1"/>
  <c r="F63" i="7"/>
  <c r="F45" i="7"/>
  <c r="F35" i="7"/>
  <c r="G63" i="7"/>
  <c r="E63" i="7"/>
  <c r="D63" i="7"/>
  <c r="C63" i="7"/>
  <c r="G45" i="7"/>
  <c r="E45" i="7"/>
  <c r="D45" i="7"/>
  <c r="C45" i="7"/>
  <c r="H44" i="7"/>
  <c r="P44" i="7" s="1"/>
  <c r="R44" i="7" s="1"/>
  <c r="H42" i="7"/>
  <c r="O42" i="7" s="1"/>
  <c r="H41" i="7"/>
  <c r="K41" i="7" s="1"/>
  <c r="H40" i="7"/>
  <c r="M40" i="7" s="1"/>
  <c r="H39" i="7"/>
  <c r="O39" i="7" s="1"/>
  <c r="H38" i="7"/>
  <c r="K38" i="7" s="1"/>
  <c r="H37" i="7"/>
  <c r="N37" i="7" s="1"/>
  <c r="R36" i="7"/>
  <c r="G35" i="7"/>
  <c r="E35" i="7"/>
  <c r="D34" i="7"/>
  <c r="C34" i="7"/>
  <c r="D17" i="7"/>
  <c r="C17" i="7"/>
  <c r="G65" i="8" l="1"/>
  <c r="I37" i="7"/>
  <c r="K37" i="7"/>
  <c r="J37" i="7"/>
  <c r="O37" i="7"/>
  <c r="L38" i="7"/>
  <c r="M38" i="7"/>
  <c r="N38" i="7"/>
  <c r="O30" i="7"/>
  <c r="J30" i="7"/>
  <c r="I30" i="7"/>
  <c r="O28" i="7"/>
  <c r="I28" i="7"/>
  <c r="J28" i="7"/>
  <c r="M18" i="7"/>
  <c r="N18" i="7"/>
  <c r="O14" i="7"/>
  <c r="M14" i="7"/>
  <c r="N10" i="7"/>
  <c r="J10" i="7"/>
  <c r="I10" i="7"/>
  <c r="N9" i="7"/>
  <c r="O9" i="7"/>
  <c r="M8" i="7"/>
  <c r="N7" i="7"/>
  <c r="O7" i="7"/>
  <c r="L9" i="7"/>
  <c r="L8" i="7"/>
  <c r="O8" i="7"/>
  <c r="I9" i="7"/>
  <c r="K9" i="7"/>
  <c r="M9" i="7"/>
  <c r="N8" i="7"/>
  <c r="J9" i="7"/>
  <c r="N24" i="7"/>
  <c r="O24" i="7"/>
  <c r="L25" i="7"/>
  <c r="K25" i="7"/>
  <c r="M25" i="7"/>
  <c r="N25" i="7"/>
  <c r="O25" i="7"/>
  <c r="J26" i="7"/>
  <c r="M26" i="7"/>
  <c r="I26" i="7"/>
  <c r="K26" i="7"/>
  <c r="L26" i="7"/>
  <c r="N26" i="7"/>
  <c r="I33" i="7"/>
  <c r="J33" i="7"/>
  <c r="K33" i="7"/>
  <c r="L33" i="7"/>
  <c r="M33" i="7"/>
  <c r="N33" i="7"/>
  <c r="N31" i="7"/>
  <c r="O31" i="7"/>
  <c r="M31" i="7"/>
  <c r="I31" i="7"/>
  <c r="J31" i="7"/>
  <c r="K31" i="7"/>
  <c r="L30" i="7"/>
  <c r="K30" i="7"/>
  <c r="M30" i="7"/>
  <c r="N30" i="7"/>
  <c r="L29" i="7"/>
  <c r="K29" i="7"/>
  <c r="O29" i="7"/>
  <c r="M29" i="7"/>
  <c r="N29" i="7"/>
  <c r="I29" i="7"/>
  <c r="N28" i="7"/>
  <c r="K28" i="7"/>
  <c r="L28" i="7"/>
  <c r="M28" i="7"/>
  <c r="M27" i="7"/>
  <c r="L27" i="7"/>
  <c r="O27" i="7"/>
  <c r="N27" i="7"/>
  <c r="I27" i="7"/>
  <c r="J27" i="7"/>
  <c r="I25" i="7"/>
  <c r="I24" i="7"/>
  <c r="J24" i="7"/>
  <c r="K24" i="7"/>
  <c r="L24" i="7"/>
  <c r="K23" i="7"/>
  <c r="I23" i="7"/>
  <c r="N23" i="7"/>
  <c r="L23" i="7"/>
  <c r="M23" i="7"/>
  <c r="O23" i="7"/>
  <c r="K22" i="7"/>
  <c r="I22" i="7"/>
  <c r="J22" i="7"/>
  <c r="L22" i="7"/>
  <c r="M22" i="7"/>
  <c r="N22" i="7"/>
  <c r="I21" i="7"/>
  <c r="J21" i="7"/>
  <c r="O21" i="7"/>
  <c r="K21" i="7"/>
  <c r="L21" i="7"/>
  <c r="M21" i="7"/>
  <c r="I20" i="7"/>
  <c r="O20" i="7"/>
  <c r="J20" i="7"/>
  <c r="K20" i="7"/>
  <c r="L20" i="7"/>
  <c r="M20" i="7"/>
  <c r="I19" i="7"/>
  <c r="J19" i="7"/>
  <c r="K19" i="7"/>
  <c r="L19" i="7"/>
  <c r="M19" i="7"/>
  <c r="N19" i="7"/>
  <c r="O18" i="7"/>
  <c r="I18" i="7"/>
  <c r="J18" i="7"/>
  <c r="K18" i="7"/>
  <c r="L18" i="7"/>
  <c r="O16" i="7"/>
  <c r="J16" i="7"/>
  <c r="I16" i="7"/>
  <c r="K16" i="7"/>
  <c r="L16" i="7"/>
  <c r="M16" i="7"/>
  <c r="M15" i="7"/>
  <c r="O15" i="7"/>
  <c r="L15" i="7"/>
  <c r="N15" i="7"/>
  <c r="I15" i="7"/>
  <c r="J15" i="7"/>
  <c r="I14" i="7"/>
  <c r="J14" i="7"/>
  <c r="K14" i="7"/>
  <c r="L14" i="7"/>
  <c r="N14" i="7"/>
  <c r="K13" i="7"/>
  <c r="L13" i="7"/>
  <c r="N13" i="7"/>
  <c r="J13" i="7"/>
  <c r="M13" i="7"/>
  <c r="O13" i="7"/>
  <c r="L12" i="7"/>
  <c r="O12" i="7"/>
  <c r="K12" i="7"/>
  <c r="N12" i="7"/>
  <c r="I12" i="7"/>
  <c r="J12" i="7"/>
  <c r="K11" i="7"/>
  <c r="L11" i="7"/>
  <c r="O11" i="7"/>
  <c r="I11" i="7"/>
  <c r="M11" i="7"/>
  <c r="N11" i="7"/>
  <c r="O10" i="7"/>
  <c r="M10" i="7"/>
  <c r="K10" i="7"/>
  <c r="L10" i="7"/>
  <c r="I8" i="7"/>
  <c r="J8" i="7"/>
  <c r="I7" i="7"/>
  <c r="J7" i="7"/>
  <c r="K7" i="7"/>
  <c r="L7" i="7"/>
  <c r="L6" i="7"/>
  <c r="M6" i="7"/>
  <c r="N6" i="7"/>
  <c r="O6" i="7"/>
  <c r="I6" i="7"/>
  <c r="J6" i="7"/>
  <c r="N40" i="7"/>
  <c r="L41" i="7"/>
  <c r="M41" i="7"/>
  <c r="N41" i="7"/>
  <c r="L37" i="7"/>
  <c r="N39" i="7"/>
  <c r="I42" i="7"/>
  <c r="I41" i="7"/>
  <c r="O41" i="7"/>
  <c r="M37" i="7"/>
  <c r="J42" i="7"/>
  <c r="J41" i="7"/>
  <c r="I40" i="7"/>
  <c r="K42" i="7"/>
  <c r="O40" i="7"/>
  <c r="J40" i="7"/>
  <c r="L42" i="7"/>
  <c r="I38" i="7"/>
  <c r="K40" i="7"/>
  <c r="M42" i="7"/>
  <c r="J38" i="7"/>
  <c r="L40" i="7"/>
  <c r="N42" i="7"/>
  <c r="D35" i="7"/>
  <c r="D47" i="7" s="1"/>
  <c r="C35" i="7"/>
  <c r="C47" i="7" s="1"/>
  <c r="C65" i="7" s="1"/>
  <c r="D3" i="7" s="1"/>
  <c r="F47" i="7"/>
  <c r="G47" i="7"/>
  <c r="E47" i="7"/>
  <c r="H45" i="7"/>
  <c r="H35" i="7"/>
  <c r="H17" i="7"/>
  <c r="H34" i="7"/>
  <c r="O41" i="6"/>
  <c r="N41" i="6"/>
  <c r="M41" i="6"/>
  <c r="L41" i="6"/>
  <c r="K41" i="6"/>
  <c r="J41" i="6"/>
  <c r="I41" i="6"/>
  <c r="H41" i="6"/>
  <c r="O40" i="6"/>
  <c r="N40" i="6"/>
  <c r="M40" i="6"/>
  <c r="L40" i="6"/>
  <c r="K40" i="6"/>
  <c r="J40" i="6"/>
  <c r="I40" i="6"/>
  <c r="H40" i="6"/>
  <c r="O39" i="6"/>
  <c r="N39" i="6"/>
  <c r="M39" i="6"/>
  <c r="L39" i="6"/>
  <c r="K39" i="6"/>
  <c r="J39" i="6"/>
  <c r="I39" i="6"/>
  <c r="H39" i="6"/>
  <c r="O38" i="6"/>
  <c r="N38" i="6"/>
  <c r="M38" i="6"/>
  <c r="L38" i="6"/>
  <c r="K38" i="6"/>
  <c r="J38" i="6"/>
  <c r="I38" i="6"/>
  <c r="H38" i="6"/>
  <c r="O37" i="6"/>
  <c r="N37" i="6"/>
  <c r="M37" i="6"/>
  <c r="L37" i="6"/>
  <c r="K37" i="6"/>
  <c r="J37" i="6"/>
  <c r="I37" i="6"/>
  <c r="H37" i="6"/>
  <c r="O36" i="6"/>
  <c r="N36" i="6"/>
  <c r="M36" i="6"/>
  <c r="L36" i="6"/>
  <c r="K36" i="6"/>
  <c r="J36" i="6"/>
  <c r="I36" i="6"/>
  <c r="H36" i="6"/>
  <c r="H3" i="8" l="1"/>
  <c r="H65" i="8" s="1"/>
  <c r="I3" i="8" s="1"/>
  <c r="I65" i="8" s="1"/>
  <c r="K3" i="8" s="1"/>
  <c r="K65" i="8" s="1"/>
  <c r="D65" i="7"/>
  <c r="E3" i="7" s="1"/>
  <c r="E65" i="7" s="1"/>
  <c r="F3" i="7" s="1"/>
  <c r="F65" i="7" s="1"/>
  <c r="G3" i="7" s="1"/>
  <c r="G65" i="7" s="1"/>
  <c r="I3" i="7" s="1"/>
  <c r="P6" i="7"/>
  <c r="R6" i="7" s="1"/>
  <c r="P24" i="7"/>
  <c r="R24" i="7" s="1"/>
  <c r="H47" i="7"/>
  <c r="L45" i="7"/>
  <c r="P37" i="7"/>
  <c r="R37" i="7" s="1"/>
  <c r="P39" i="7"/>
  <c r="R39" i="7" s="1"/>
  <c r="P41" i="7"/>
  <c r="R41" i="7" s="1"/>
  <c r="P38" i="7"/>
  <c r="R38" i="7" s="1"/>
  <c r="P20" i="7"/>
  <c r="R20" i="7" s="1"/>
  <c r="P16" i="7"/>
  <c r="R16" i="7" s="1"/>
  <c r="P33" i="7"/>
  <c r="R33" i="7" s="1"/>
  <c r="P11" i="7"/>
  <c r="R11" i="7" s="1"/>
  <c r="P31" i="7"/>
  <c r="R31" i="7" s="1"/>
  <c r="P15" i="7"/>
  <c r="R15" i="7" s="1"/>
  <c r="P10" i="7"/>
  <c r="R10" i="7" s="1"/>
  <c r="P30" i="7"/>
  <c r="R30" i="7" s="1"/>
  <c r="P12" i="7"/>
  <c r="R12" i="7" s="1"/>
  <c r="O34" i="7"/>
  <c r="P42" i="7"/>
  <c r="R42" i="7" s="1"/>
  <c r="P7" i="7"/>
  <c r="R7" i="7" s="1"/>
  <c r="J17" i="7"/>
  <c r="J45" i="7"/>
  <c r="P9" i="7"/>
  <c r="R9" i="7" s="1"/>
  <c r="P22" i="7"/>
  <c r="R22" i="7" s="1"/>
  <c r="P23" i="7"/>
  <c r="R23" i="7" s="1"/>
  <c r="P25" i="7"/>
  <c r="R25" i="7" s="1"/>
  <c r="P21" i="7"/>
  <c r="R21" i="7" s="1"/>
  <c r="P29" i="7"/>
  <c r="R29" i="7" s="1"/>
  <c r="P28" i="7"/>
  <c r="R28" i="7" s="1"/>
  <c r="P19" i="7"/>
  <c r="R19" i="7" s="1"/>
  <c r="K45" i="7"/>
  <c r="I34" i="7"/>
  <c r="M34" i="7"/>
  <c r="N45" i="7"/>
  <c r="P18" i="7"/>
  <c r="R18" i="7" s="1"/>
  <c r="J34" i="7"/>
  <c r="M17" i="7"/>
  <c r="P26" i="7"/>
  <c r="R26" i="7" s="1"/>
  <c r="K17" i="7"/>
  <c r="P13" i="7"/>
  <c r="R13" i="7" s="1"/>
  <c r="L17" i="7"/>
  <c r="P27" i="7"/>
  <c r="R27" i="7" s="1"/>
  <c r="L34" i="7"/>
  <c r="P40" i="7"/>
  <c r="R40" i="7" s="1"/>
  <c r="P8" i="7"/>
  <c r="R8" i="7" s="1"/>
  <c r="O45" i="7"/>
  <c r="P14" i="7"/>
  <c r="R14" i="7" s="1"/>
  <c r="N17" i="7"/>
  <c r="M45" i="7"/>
  <c r="N34" i="7"/>
  <c r="I17" i="7"/>
  <c r="O17" i="7"/>
  <c r="K34" i="7"/>
  <c r="I45" i="7"/>
  <c r="G45" i="6"/>
  <c r="G43" i="6"/>
  <c r="G42" i="6"/>
  <c r="G41" i="6"/>
  <c r="G40" i="6"/>
  <c r="G39" i="6"/>
  <c r="G38" i="6"/>
  <c r="G37" i="6"/>
  <c r="G36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F61" i="6"/>
  <c r="E61" i="6"/>
  <c r="D61" i="6"/>
  <c r="C61" i="6"/>
  <c r="E43" i="6"/>
  <c r="D43" i="6"/>
  <c r="C43" i="6"/>
  <c r="R35" i="6"/>
  <c r="D33" i="6"/>
  <c r="C33" i="6"/>
  <c r="E34" i="6"/>
  <c r="D17" i="6"/>
  <c r="C17" i="6"/>
  <c r="J35" i="7" l="1"/>
  <c r="J47" i="7" s="1"/>
  <c r="N35" i="7"/>
  <c r="N47" i="7" s="1"/>
  <c r="O35" i="7"/>
  <c r="O47" i="7" s="1"/>
  <c r="P17" i="7"/>
  <c r="L35" i="7"/>
  <c r="L47" i="7" s="1"/>
  <c r="M35" i="7"/>
  <c r="M47" i="7" s="1"/>
  <c r="I35" i="7"/>
  <c r="I47" i="7" s="1"/>
  <c r="P34" i="7"/>
  <c r="P45" i="7"/>
  <c r="K35" i="7"/>
  <c r="K47" i="7" s="1"/>
  <c r="N32" i="6"/>
  <c r="M32" i="6"/>
  <c r="L32" i="6"/>
  <c r="K32" i="6"/>
  <c r="J32" i="6"/>
  <c r="I32" i="6"/>
  <c r="H32" i="6"/>
  <c r="O32" i="6"/>
  <c r="O31" i="6"/>
  <c r="M31" i="6"/>
  <c r="L31" i="6"/>
  <c r="J31" i="6"/>
  <c r="I31" i="6"/>
  <c r="H31" i="6"/>
  <c r="N31" i="6"/>
  <c r="K31" i="6"/>
  <c r="M30" i="6"/>
  <c r="L30" i="6"/>
  <c r="K30" i="6"/>
  <c r="J30" i="6"/>
  <c r="I30" i="6"/>
  <c r="H30" i="6"/>
  <c r="O30" i="6"/>
  <c r="N30" i="6"/>
  <c r="O29" i="6"/>
  <c r="N29" i="6"/>
  <c r="M29" i="6"/>
  <c r="L29" i="6"/>
  <c r="I29" i="6"/>
  <c r="H29" i="6"/>
  <c r="K29" i="6"/>
  <c r="J29" i="6"/>
  <c r="M28" i="6"/>
  <c r="O28" i="6"/>
  <c r="N28" i="6"/>
  <c r="K28" i="6"/>
  <c r="J28" i="6"/>
  <c r="I28" i="6"/>
  <c r="H28" i="6"/>
  <c r="L28" i="6"/>
  <c r="O27" i="6"/>
  <c r="N27" i="6"/>
  <c r="M27" i="6"/>
  <c r="L27" i="6"/>
  <c r="J27" i="6"/>
  <c r="I27" i="6"/>
  <c r="H27" i="6"/>
  <c r="K27" i="6"/>
  <c r="O26" i="6"/>
  <c r="N26" i="6"/>
  <c r="M26" i="6"/>
  <c r="J26" i="6"/>
  <c r="L26" i="6"/>
  <c r="K26" i="6"/>
  <c r="H26" i="6"/>
  <c r="I26" i="6"/>
  <c r="K25" i="6"/>
  <c r="J25" i="6"/>
  <c r="I25" i="6"/>
  <c r="H25" i="6"/>
  <c r="N25" i="6"/>
  <c r="O25" i="6"/>
  <c r="M25" i="6"/>
  <c r="L25" i="6"/>
  <c r="O24" i="6"/>
  <c r="N24" i="6"/>
  <c r="M24" i="6"/>
  <c r="K24" i="6"/>
  <c r="J24" i="6"/>
  <c r="L24" i="6"/>
  <c r="H24" i="6"/>
  <c r="I24" i="6"/>
  <c r="O23" i="6"/>
  <c r="M23" i="6"/>
  <c r="I23" i="6"/>
  <c r="H23" i="6"/>
  <c r="N23" i="6"/>
  <c r="K23" i="6"/>
  <c r="L23" i="6"/>
  <c r="J23" i="6"/>
  <c r="M22" i="6"/>
  <c r="H22" i="6"/>
  <c r="O22" i="6"/>
  <c r="N22" i="6"/>
  <c r="L22" i="6"/>
  <c r="K22" i="6"/>
  <c r="J22" i="6"/>
  <c r="I22" i="6"/>
  <c r="O21" i="6"/>
  <c r="M21" i="6"/>
  <c r="L21" i="6"/>
  <c r="H21" i="6"/>
  <c r="N21" i="6"/>
  <c r="K21" i="6"/>
  <c r="J21" i="6"/>
  <c r="I21" i="6"/>
  <c r="I20" i="6"/>
  <c r="H20" i="6"/>
  <c r="O20" i="6"/>
  <c r="L20" i="6"/>
  <c r="K20" i="6"/>
  <c r="J20" i="6"/>
  <c r="N20" i="6"/>
  <c r="M20" i="6"/>
  <c r="O19" i="6"/>
  <c r="N19" i="6"/>
  <c r="M19" i="6"/>
  <c r="L19" i="6"/>
  <c r="K19" i="6"/>
  <c r="I19" i="6"/>
  <c r="H19" i="6"/>
  <c r="J19" i="6"/>
  <c r="O18" i="6"/>
  <c r="N18" i="6"/>
  <c r="M18" i="6"/>
  <c r="L18" i="6"/>
  <c r="K18" i="6"/>
  <c r="J18" i="6"/>
  <c r="H18" i="6"/>
  <c r="I18" i="6"/>
  <c r="K16" i="6"/>
  <c r="O16" i="6"/>
  <c r="M16" i="6"/>
  <c r="L16" i="6"/>
  <c r="J16" i="6"/>
  <c r="I16" i="6"/>
  <c r="H16" i="6"/>
  <c r="N16" i="6"/>
  <c r="O15" i="6"/>
  <c r="L15" i="6"/>
  <c r="N15" i="6"/>
  <c r="J15" i="6"/>
  <c r="M15" i="6"/>
  <c r="K15" i="6"/>
  <c r="I15" i="6"/>
  <c r="H15" i="6"/>
  <c r="H14" i="6"/>
  <c r="O14" i="6"/>
  <c r="M14" i="6"/>
  <c r="L14" i="6"/>
  <c r="K14" i="6"/>
  <c r="J14" i="6"/>
  <c r="N14" i="6"/>
  <c r="I14" i="6"/>
  <c r="M13" i="6"/>
  <c r="L13" i="6"/>
  <c r="K13" i="6"/>
  <c r="J13" i="6"/>
  <c r="I13" i="6"/>
  <c r="H13" i="6"/>
  <c r="O13" i="6"/>
  <c r="N13" i="6"/>
  <c r="O12" i="6"/>
  <c r="M12" i="6"/>
  <c r="L12" i="6"/>
  <c r="N12" i="6"/>
  <c r="K12" i="6"/>
  <c r="J12" i="6"/>
  <c r="I12" i="6"/>
  <c r="H12" i="6"/>
  <c r="N11" i="6"/>
  <c r="O11" i="6"/>
  <c r="M11" i="6"/>
  <c r="L11" i="6"/>
  <c r="K11" i="6"/>
  <c r="J11" i="6"/>
  <c r="I11" i="6"/>
  <c r="H11" i="6"/>
  <c r="O10" i="6"/>
  <c r="J10" i="6"/>
  <c r="I10" i="6"/>
  <c r="H10" i="6"/>
  <c r="N10" i="6"/>
  <c r="M10" i="6"/>
  <c r="L10" i="6"/>
  <c r="K10" i="6"/>
  <c r="M9" i="6"/>
  <c r="K9" i="6"/>
  <c r="J9" i="6"/>
  <c r="N9" i="6"/>
  <c r="I9" i="6"/>
  <c r="O9" i="6"/>
  <c r="H9" i="6"/>
  <c r="L9" i="6"/>
  <c r="M8" i="6"/>
  <c r="O8" i="6"/>
  <c r="L8" i="6"/>
  <c r="K8" i="6"/>
  <c r="J8" i="6"/>
  <c r="I8" i="6"/>
  <c r="N8" i="6"/>
  <c r="H8" i="6"/>
  <c r="O7" i="6"/>
  <c r="N7" i="6"/>
  <c r="M7" i="6"/>
  <c r="L7" i="6"/>
  <c r="K7" i="6"/>
  <c r="J7" i="6"/>
  <c r="I7" i="6"/>
  <c r="H7" i="6"/>
  <c r="O6" i="6"/>
  <c r="N6" i="6"/>
  <c r="J6" i="6"/>
  <c r="M6" i="6"/>
  <c r="L6" i="6"/>
  <c r="K6" i="6"/>
  <c r="I6" i="6"/>
  <c r="H6" i="6"/>
  <c r="E45" i="6"/>
  <c r="C34" i="6"/>
  <c r="D34" i="6"/>
  <c r="D45" i="6" s="1"/>
  <c r="P5" i="6"/>
  <c r="P42" i="6"/>
  <c r="R42" i="6" s="1"/>
  <c r="G45" i="5"/>
  <c r="G43" i="5"/>
  <c r="G33" i="5"/>
  <c r="O33" i="5"/>
  <c r="G17" i="5"/>
  <c r="E17" i="5"/>
  <c r="E33" i="5"/>
  <c r="D33" i="5"/>
  <c r="C33" i="5"/>
  <c r="D17" i="5"/>
  <c r="E43" i="5"/>
  <c r="G36" i="5"/>
  <c r="O41" i="5"/>
  <c r="O40" i="5"/>
  <c r="O39" i="5"/>
  <c r="O38" i="5"/>
  <c r="O37" i="5"/>
  <c r="O36" i="5"/>
  <c r="N41" i="5"/>
  <c r="N40" i="5"/>
  <c r="N39" i="5"/>
  <c r="N38" i="5"/>
  <c r="N37" i="5"/>
  <c r="N36" i="5"/>
  <c r="M41" i="5"/>
  <c r="M40" i="5"/>
  <c r="M39" i="5"/>
  <c r="M38" i="5"/>
  <c r="M37" i="5"/>
  <c r="M36" i="5"/>
  <c r="L41" i="5"/>
  <c r="L40" i="5"/>
  <c r="L39" i="5"/>
  <c r="L38" i="5"/>
  <c r="L37" i="5"/>
  <c r="L36" i="5"/>
  <c r="K41" i="5"/>
  <c r="K40" i="5"/>
  <c r="K39" i="5"/>
  <c r="K38" i="5"/>
  <c r="K37" i="5"/>
  <c r="K36" i="5"/>
  <c r="J41" i="5"/>
  <c r="J40" i="5"/>
  <c r="J39" i="5"/>
  <c r="J38" i="5"/>
  <c r="J37" i="5"/>
  <c r="J36" i="5"/>
  <c r="I41" i="5"/>
  <c r="I40" i="5"/>
  <c r="I39" i="5"/>
  <c r="I38" i="5"/>
  <c r="I37" i="5"/>
  <c r="I36" i="5"/>
  <c r="H41" i="5"/>
  <c r="H40" i="5"/>
  <c r="H39" i="5"/>
  <c r="H38" i="5"/>
  <c r="H37" i="5"/>
  <c r="H36" i="5"/>
  <c r="G41" i="5"/>
  <c r="G40" i="5"/>
  <c r="G39" i="5"/>
  <c r="G38" i="5"/>
  <c r="G37" i="5"/>
  <c r="P42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6" i="5"/>
  <c r="P15" i="5"/>
  <c r="P14" i="5"/>
  <c r="P13" i="5"/>
  <c r="P12" i="5"/>
  <c r="P11" i="5"/>
  <c r="P10" i="5"/>
  <c r="P9" i="5"/>
  <c r="P8" i="5"/>
  <c r="P7" i="5"/>
  <c r="P6" i="5"/>
  <c r="P5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O16" i="5"/>
  <c r="O15" i="5"/>
  <c r="O14" i="5"/>
  <c r="O13" i="5"/>
  <c r="O12" i="5"/>
  <c r="O11" i="5"/>
  <c r="O10" i="5"/>
  <c r="O9" i="5"/>
  <c r="O8" i="5"/>
  <c r="O7" i="5"/>
  <c r="O6" i="5"/>
  <c r="N16" i="5"/>
  <c r="N15" i="5"/>
  <c r="N14" i="5"/>
  <c r="N13" i="5"/>
  <c r="N12" i="5"/>
  <c r="N11" i="5"/>
  <c r="N10" i="5"/>
  <c r="N9" i="5"/>
  <c r="N8" i="5"/>
  <c r="N7" i="5"/>
  <c r="N6" i="5"/>
  <c r="M16" i="5"/>
  <c r="M15" i="5"/>
  <c r="M14" i="5"/>
  <c r="M13" i="5"/>
  <c r="M12" i="5"/>
  <c r="M11" i="5"/>
  <c r="M10" i="5"/>
  <c r="M9" i="5"/>
  <c r="M8" i="5"/>
  <c r="M7" i="5"/>
  <c r="M6" i="5"/>
  <c r="L16" i="5"/>
  <c r="L15" i="5"/>
  <c r="L14" i="5"/>
  <c r="L13" i="5"/>
  <c r="L12" i="5"/>
  <c r="L11" i="5"/>
  <c r="L10" i="5"/>
  <c r="L9" i="5"/>
  <c r="L8" i="5"/>
  <c r="L7" i="5"/>
  <c r="L6" i="5"/>
  <c r="K16" i="5"/>
  <c r="K15" i="5"/>
  <c r="K14" i="5"/>
  <c r="K13" i="5"/>
  <c r="K12" i="5"/>
  <c r="K11" i="5"/>
  <c r="K10" i="5"/>
  <c r="K9" i="5"/>
  <c r="K8" i="5"/>
  <c r="K7" i="5"/>
  <c r="K6" i="5"/>
  <c r="J16" i="5"/>
  <c r="J15" i="5"/>
  <c r="J14" i="5"/>
  <c r="J13" i="5"/>
  <c r="J12" i="5"/>
  <c r="J11" i="5"/>
  <c r="J10" i="5"/>
  <c r="J9" i="5"/>
  <c r="J8" i="5"/>
  <c r="J7" i="5"/>
  <c r="J6" i="5"/>
  <c r="I16" i="5"/>
  <c r="I15" i="5"/>
  <c r="I14" i="5"/>
  <c r="I13" i="5"/>
  <c r="I12" i="5"/>
  <c r="I11" i="5"/>
  <c r="I10" i="5"/>
  <c r="I9" i="5"/>
  <c r="I8" i="5"/>
  <c r="I7" i="5"/>
  <c r="I6" i="5"/>
  <c r="H16" i="5"/>
  <c r="H15" i="5"/>
  <c r="H14" i="5"/>
  <c r="H13" i="5"/>
  <c r="H12" i="5"/>
  <c r="H11" i="5"/>
  <c r="H10" i="5"/>
  <c r="H9" i="5"/>
  <c r="H8" i="5"/>
  <c r="H7" i="5"/>
  <c r="H6" i="5"/>
  <c r="G16" i="5"/>
  <c r="G15" i="5"/>
  <c r="G14" i="5"/>
  <c r="G13" i="5"/>
  <c r="G12" i="5"/>
  <c r="G11" i="5"/>
  <c r="G10" i="5"/>
  <c r="G9" i="5"/>
  <c r="G8" i="5"/>
  <c r="G7" i="5"/>
  <c r="E61" i="5"/>
  <c r="F43" i="5"/>
  <c r="D43" i="5"/>
  <c r="D45" i="5" s="1"/>
  <c r="F42" i="5"/>
  <c r="F41" i="5"/>
  <c r="F40" i="5"/>
  <c r="F39" i="5"/>
  <c r="F38" i="5"/>
  <c r="F37" i="5"/>
  <c r="F36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C61" i="2"/>
  <c r="D61" i="2"/>
  <c r="E43" i="2"/>
  <c r="E45" i="2" s="1"/>
  <c r="D43" i="2"/>
  <c r="D45" i="2" s="1"/>
  <c r="D17" i="2"/>
  <c r="D34" i="2" s="1"/>
  <c r="E34" i="2" s="1"/>
  <c r="E42" i="2"/>
  <c r="E41" i="2"/>
  <c r="E40" i="2"/>
  <c r="E39" i="2"/>
  <c r="E38" i="2"/>
  <c r="E37" i="2"/>
  <c r="E36" i="2"/>
  <c r="E32" i="2"/>
  <c r="E31" i="2"/>
  <c r="E30" i="2"/>
  <c r="E29" i="2"/>
  <c r="E28" i="2"/>
  <c r="E27" i="2"/>
  <c r="E7" i="2"/>
  <c r="E6" i="2"/>
  <c r="E5" i="2"/>
  <c r="D61" i="5"/>
  <c r="D34" i="5"/>
  <c r="C61" i="5"/>
  <c r="C43" i="5"/>
  <c r="R35" i="5"/>
  <c r="C17" i="5"/>
  <c r="C34" i="5" s="1"/>
  <c r="P35" i="7" l="1"/>
  <c r="P47" i="7"/>
  <c r="I65" i="7"/>
  <c r="P6" i="6"/>
  <c r="R6" i="6" s="1"/>
  <c r="F34" i="6"/>
  <c r="F43" i="6"/>
  <c r="P14" i="6"/>
  <c r="R14" i="6" s="1"/>
  <c r="P10" i="6"/>
  <c r="R10" i="6" s="1"/>
  <c r="K43" i="6"/>
  <c r="N17" i="6"/>
  <c r="H17" i="6"/>
  <c r="I33" i="6"/>
  <c r="P40" i="6"/>
  <c r="R40" i="6" s="1"/>
  <c r="J43" i="6"/>
  <c r="J33" i="6"/>
  <c r="P9" i="6"/>
  <c r="R9" i="6" s="1"/>
  <c r="L33" i="6"/>
  <c r="C45" i="6"/>
  <c r="C63" i="6" s="1"/>
  <c r="P37" i="6"/>
  <c r="R37" i="6" s="1"/>
  <c r="P41" i="6"/>
  <c r="R41" i="6" s="1"/>
  <c r="P29" i="6"/>
  <c r="R29" i="6" s="1"/>
  <c r="P39" i="6"/>
  <c r="R39" i="6" s="1"/>
  <c r="P12" i="6"/>
  <c r="R12" i="6" s="1"/>
  <c r="P27" i="6"/>
  <c r="R27" i="6" s="1"/>
  <c r="P28" i="6"/>
  <c r="R28" i="6" s="1"/>
  <c r="M43" i="6"/>
  <c r="M17" i="6"/>
  <c r="I43" i="6"/>
  <c r="L43" i="6"/>
  <c r="N43" i="6"/>
  <c r="L17" i="6"/>
  <c r="H33" i="6"/>
  <c r="P21" i="6"/>
  <c r="R21" i="6" s="1"/>
  <c r="I17" i="6"/>
  <c r="P11" i="6"/>
  <c r="R11" i="6" s="1"/>
  <c r="P16" i="6"/>
  <c r="R16" i="6" s="1"/>
  <c r="P22" i="6"/>
  <c r="R22" i="6" s="1"/>
  <c r="P30" i="6"/>
  <c r="R30" i="6" s="1"/>
  <c r="M33" i="6"/>
  <c r="K33" i="6"/>
  <c r="P13" i="6"/>
  <c r="R13" i="6" s="1"/>
  <c r="K17" i="6"/>
  <c r="P26" i="6"/>
  <c r="R26" i="6" s="1"/>
  <c r="P8" i="6"/>
  <c r="R8" i="6" s="1"/>
  <c r="J17" i="6"/>
  <c r="H43" i="6"/>
  <c r="P25" i="6"/>
  <c r="R25" i="6" s="1"/>
  <c r="P20" i="6"/>
  <c r="R20" i="6" s="1"/>
  <c r="P38" i="6"/>
  <c r="R38" i="6" s="1"/>
  <c r="O33" i="6"/>
  <c r="N33" i="6"/>
  <c r="O43" i="6"/>
  <c r="P31" i="6"/>
  <c r="R31" i="6" s="1"/>
  <c r="P36" i="6"/>
  <c r="P15" i="6"/>
  <c r="R15" i="6" s="1"/>
  <c r="P32" i="6"/>
  <c r="R32" i="6" s="1"/>
  <c r="P23" i="6"/>
  <c r="R23" i="6" s="1"/>
  <c r="P19" i="6"/>
  <c r="R19" i="6" s="1"/>
  <c r="P7" i="6"/>
  <c r="R7" i="6" s="1"/>
  <c r="P18" i="6"/>
  <c r="R18" i="6" s="1"/>
  <c r="P24" i="6"/>
  <c r="R24" i="6" s="1"/>
  <c r="O17" i="6"/>
  <c r="E34" i="5"/>
  <c r="E45" i="5" s="1"/>
  <c r="P33" i="5"/>
  <c r="P17" i="5"/>
  <c r="P36" i="5"/>
  <c r="P41" i="5"/>
  <c r="R41" i="5" s="1"/>
  <c r="R42" i="5"/>
  <c r="P38" i="5"/>
  <c r="P39" i="5"/>
  <c r="P37" i="5"/>
  <c r="P40" i="5"/>
  <c r="R21" i="5"/>
  <c r="G6" i="5"/>
  <c r="C45" i="5"/>
  <c r="C63" i="5" s="1"/>
  <c r="D3" i="5" s="1"/>
  <c r="D63" i="5" s="1"/>
  <c r="E3" i="5" s="1"/>
  <c r="R30" i="5"/>
  <c r="C60" i="4"/>
  <c r="C42" i="4"/>
  <c r="D42" i="4" s="1"/>
  <c r="P41" i="4"/>
  <c r="R41" i="4" s="1"/>
  <c r="D41" i="4"/>
  <c r="N40" i="4"/>
  <c r="L40" i="4"/>
  <c r="K40" i="4"/>
  <c r="H40" i="4"/>
  <c r="D40" i="4"/>
  <c r="M40" i="4" s="1"/>
  <c r="O39" i="4"/>
  <c r="N39" i="4"/>
  <c r="M39" i="4"/>
  <c r="L39" i="4"/>
  <c r="K39" i="4"/>
  <c r="J39" i="4"/>
  <c r="I39" i="4"/>
  <c r="G39" i="4"/>
  <c r="F39" i="4"/>
  <c r="D39" i="4"/>
  <c r="H39" i="4" s="1"/>
  <c r="L38" i="4"/>
  <c r="G38" i="4"/>
  <c r="D38" i="4"/>
  <c r="I38" i="4" s="1"/>
  <c r="O37" i="4"/>
  <c r="N37" i="4"/>
  <c r="M37" i="4"/>
  <c r="L37" i="4"/>
  <c r="K37" i="4"/>
  <c r="J37" i="4"/>
  <c r="I37" i="4"/>
  <c r="H37" i="4"/>
  <c r="G37" i="4"/>
  <c r="F37" i="4"/>
  <c r="E37" i="4"/>
  <c r="P37" i="4" s="1"/>
  <c r="R37" i="4" s="1"/>
  <c r="D37" i="4"/>
  <c r="K36" i="4"/>
  <c r="I36" i="4"/>
  <c r="H36" i="4"/>
  <c r="F36" i="4"/>
  <c r="D36" i="4"/>
  <c r="E36" i="4" s="1"/>
  <c r="N35" i="4"/>
  <c r="F35" i="4"/>
  <c r="D35" i="4"/>
  <c r="R34" i="4"/>
  <c r="C32" i="4"/>
  <c r="C33" i="4" s="1"/>
  <c r="O31" i="4"/>
  <c r="L31" i="4"/>
  <c r="I31" i="4"/>
  <c r="D31" i="4"/>
  <c r="N31" i="4" s="1"/>
  <c r="O30" i="4"/>
  <c r="N30" i="4"/>
  <c r="M30" i="4"/>
  <c r="L30" i="4"/>
  <c r="K30" i="4"/>
  <c r="J30" i="4"/>
  <c r="H30" i="4"/>
  <c r="G30" i="4"/>
  <c r="D30" i="4"/>
  <c r="I30" i="4" s="1"/>
  <c r="O29" i="4"/>
  <c r="N29" i="4"/>
  <c r="M29" i="4"/>
  <c r="L29" i="4"/>
  <c r="K29" i="4"/>
  <c r="J29" i="4"/>
  <c r="I29" i="4"/>
  <c r="H29" i="4"/>
  <c r="F29" i="4"/>
  <c r="E29" i="4"/>
  <c r="P29" i="4" s="1"/>
  <c r="R29" i="4" s="1"/>
  <c r="D29" i="4"/>
  <c r="G29" i="4" s="1"/>
  <c r="O28" i="4"/>
  <c r="N28" i="4"/>
  <c r="L28" i="4"/>
  <c r="K28" i="4"/>
  <c r="J28" i="4"/>
  <c r="I28" i="4"/>
  <c r="G28" i="4"/>
  <c r="F28" i="4"/>
  <c r="D28" i="4"/>
  <c r="H28" i="4" s="1"/>
  <c r="D27" i="4"/>
  <c r="F27" i="4" s="1"/>
  <c r="O26" i="4"/>
  <c r="K26" i="4"/>
  <c r="J26" i="4"/>
  <c r="I26" i="4"/>
  <c r="H26" i="4"/>
  <c r="G26" i="4"/>
  <c r="F26" i="4"/>
  <c r="E26" i="4"/>
  <c r="D26" i="4"/>
  <c r="N26" i="4" s="1"/>
  <c r="M25" i="4"/>
  <c r="I25" i="4"/>
  <c r="H25" i="4"/>
  <c r="F25" i="4"/>
  <c r="E25" i="4"/>
  <c r="D25" i="4"/>
  <c r="O25" i="4" s="1"/>
  <c r="N24" i="4"/>
  <c r="K24" i="4"/>
  <c r="D24" i="4"/>
  <c r="O23" i="4"/>
  <c r="L23" i="4"/>
  <c r="I23" i="4"/>
  <c r="D23" i="4"/>
  <c r="N23" i="4" s="1"/>
  <c r="O22" i="4"/>
  <c r="N22" i="4"/>
  <c r="M22" i="4"/>
  <c r="L22" i="4"/>
  <c r="K22" i="4"/>
  <c r="J22" i="4"/>
  <c r="H22" i="4"/>
  <c r="G22" i="4"/>
  <c r="D22" i="4"/>
  <c r="I22" i="4" s="1"/>
  <c r="O21" i="4"/>
  <c r="N21" i="4"/>
  <c r="M21" i="4"/>
  <c r="L21" i="4"/>
  <c r="K21" i="4"/>
  <c r="J21" i="4"/>
  <c r="I21" i="4"/>
  <c r="H21" i="4"/>
  <c r="F21" i="4"/>
  <c r="E21" i="4"/>
  <c r="D21" i="4"/>
  <c r="G21" i="4" s="1"/>
  <c r="O20" i="4"/>
  <c r="N20" i="4"/>
  <c r="L20" i="4"/>
  <c r="K20" i="4"/>
  <c r="J20" i="4"/>
  <c r="I20" i="4"/>
  <c r="G20" i="4"/>
  <c r="F20" i="4"/>
  <c r="D20" i="4"/>
  <c r="H20" i="4" s="1"/>
  <c r="D19" i="4"/>
  <c r="F19" i="4" s="1"/>
  <c r="O18" i="4"/>
  <c r="K18" i="4"/>
  <c r="J18" i="4"/>
  <c r="I18" i="4"/>
  <c r="H18" i="4"/>
  <c r="G18" i="4"/>
  <c r="F18" i="4"/>
  <c r="E18" i="4"/>
  <c r="D18" i="4"/>
  <c r="N18" i="4" s="1"/>
  <c r="C17" i="4"/>
  <c r="N16" i="4"/>
  <c r="K16" i="4"/>
  <c r="D16" i="4"/>
  <c r="O15" i="4"/>
  <c r="M15" i="4"/>
  <c r="L15" i="4"/>
  <c r="I15" i="4"/>
  <c r="D15" i="4"/>
  <c r="N15" i="4" s="1"/>
  <c r="O14" i="4"/>
  <c r="N14" i="4"/>
  <c r="M14" i="4"/>
  <c r="L14" i="4"/>
  <c r="K14" i="4"/>
  <c r="J14" i="4"/>
  <c r="H14" i="4"/>
  <c r="G14" i="4"/>
  <c r="D14" i="4"/>
  <c r="I14" i="4" s="1"/>
  <c r="O13" i="4"/>
  <c r="N13" i="4"/>
  <c r="M13" i="4"/>
  <c r="L13" i="4"/>
  <c r="K13" i="4"/>
  <c r="J13" i="4"/>
  <c r="I13" i="4"/>
  <c r="H13" i="4"/>
  <c r="F13" i="4"/>
  <c r="E13" i="4"/>
  <c r="D13" i="4"/>
  <c r="G13" i="4" s="1"/>
  <c r="N12" i="4"/>
  <c r="L12" i="4"/>
  <c r="K12" i="4"/>
  <c r="J12" i="4"/>
  <c r="I12" i="4"/>
  <c r="G12" i="4"/>
  <c r="F12" i="4"/>
  <c r="D12" i="4"/>
  <c r="H12" i="4" s="1"/>
  <c r="D11" i="4"/>
  <c r="F11" i="4" s="1"/>
  <c r="O10" i="4"/>
  <c r="K10" i="4"/>
  <c r="J10" i="4"/>
  <c r="I10" i="4"/>
  <c r="H10" i="4"/>
  <c r="G10" i="4"/>
  <c r="F10" i="4"/>
  <c r="E10" i="4"/>
  <c r="D10" i="4"/>
  <c r="N10" i="4" s="1"/>
  <c r="M9" i="4"/>
  <c r="H9" i="4"/>
  <c r="F9" i="4"/>
  <c r="E9" i="4"/>
  <c r="D9" i="4"/>
  <c r="O9" i="4" s="1"/>
  <c r="N8" i="4"/>
  <c r="K8" i="4"/>
  <c r="D8" i="4"/>
  <c r="O7" i="4"/>
  <c r="M7" i="4"/>
  <c r="L7" i="4"/>
  <c r="I7" i="4"/>
  <c r="D7" i="4"/>
  <c r="N7" i="4" s="1"/>
  <c r="O6" i="4"/>
  <c r="N6" i="4"/>
  <c r="M6" i="4"/>
  <c r="L6" i="4"/>
  <c r="K6" i="4"/>
  <c r="J6" i="4"/>
  <c r="H6" i="4"/>
  <c r="G6" i="4"/>
  <c r="D6" i="4"/>
  <c r="I6" i="4" s="1"/>
  <c r="D5" i="4"/>
  <c r="J65" i="7" l="1"/>
  <c r="K3" i="7" s="1"/>
  <c r="K65" i="7" s="1"/>
  <c r="L3" i="7" s="1"/>
  <c r="L65" i="7" s="1"/>
  <c r="M3" i="7" s="1"/>
  <c r="M65" i="7" s="1"/>
  <c r="N3" i="7" s="1"/>
  <c r="N65" i="7" s="1"/>
  <c r="O3" i="7" s="1"/>
  <c r="O65" i="7" s="1"/>
  <c r="J3" i="7"/>
  <c r="M34" i="6"/>
  <c r="M45" i="6" s="1"/>
  <c r="F45" i="6"/>
  <c r="D3" i="6"/>
  <c r="D63" i="6" s="1"/>
  <c r="E3" i="6" s="1"/>
  <c r="E63" i="6" s="1"/>
  <c r="F3" i="6" s="1"/>
  <c r="N34" i="6"/>
  <c r="N45" i="6" s="1"/>
  <c r="I34" i="6"/>
  <c r="I45" i="6" s="1"/>
  <c r="H34" i="6"/>
  <c r="H45" i="6" s="1"/>
  <c r="L34" i="6"/>
  <c r="L45" i="6" s="1"/>
  <c r="J34" i="6"/>
  <c r="J45" i="6" s="1"/>
  <c r="K34" i="6"/>
  <c r="K45" i="6" s="1"/>
  <c r="R36" i="6"/>
  <c r="P43" i="6"/>
  <c r="O34" i="6"/>
  <c r="O45" i="6" s="1"/>
  <c r="P17" i="6"/>
  <c r="P33" i="6"/>
  <c r="F34" i="5"/>
  <c r="F45" i="5" s="1"/>
  <c r="P34" i="5"/>
  <c r="E63" i="5"/>
  <c r="G3" i="5" s="1"/>
  <c r="P43" i="5"/>
  <c r="J43" i="5"/>
  <c r="R40" i="5"/>
  <c r="R38" i="5"/>
  <c r="H43" i="5"/>
  <c r="K43" i="5"/>
  <c r="L43" i="5"/>
  <c r="R31" i="5"/>
  <c r="R29" i="5"/>
  <c r="R27" i="5"/>
  <c r="R26" i="5"/>
  <c r="R25" i="5"/>
  <c r="R23" i="5"/>
  <c r="R22" i="5"/>
  <c r="R19" i="5"/>
  <c r="R14" i="5"/>
  <c r="R13" i="5"/>
  <c r="R10" i="5"/>
  <c r="R7" i="5"/>
  <c r="H17" i="5"/>
  <c r="R6" i="5"/>
  <c r="R32" i="5"/>
  <c r="R28" i="5"/>
  <c r="R24" i="5"/>
  <c r="N33" i="5"/>
  <c r="K33" i="5"/>
  <c r="R20" i="5"/>
  <c r="J33" i="5"/>
  <c r="L33" i="5"/>
  <c r="H33" i="5"/>
  <c r="M17" i="5"/>
  <c r="R12" i="5"/>
  <c r="R8" i="5"/>
  <c r="L17" i="5"/>
  <c r="R37" i="5"/>
  <c r="N43" i="5"/>
  <c r="R39" i="5"/>
  <c r="J17" i="5"/>
  <c r="M33" i="5"/>
  <c r="R9" i="5"/>
  <c r="I33" i="5"/>
  <c r="R18" i="5"/>
  <c r="R16" i="5"/>
  <c r="N17" i="5"/>
  <c r="I17" i="5"/>
  <c r="O17" i="5"/>
  <c r="K17" i="5"/>
  <c r="O43" i="5"/>
  <c r="M43" i="5"/>
  <c r="R15" i="5"/>
  <c r="I43" i="5"/>
  <c r="R11" i="5"/>
  <c r="C44" i="4"/>
  <c r="C62" i="4" s="1"/>
  <c r="E3" i="4" s="1"/>
  <c r="D33" i="4"/>
  <c r="D44" i="4" s="1"/>
  <c r="P13" i="4"/>
  <c r="R13" i="4" s="1"/>
  <c r="P21" i="4"/>
  <c r="R21" i="4" s="1"/>
  <c r="G11" i="4"/>
  <c r="G19" i="4"/>
  <c r="G32" i="4" s="1"/>
  <c r="G27" i="4"/>
  <c r="P27" i="4" s="1"/>
  <c r="R27" i="4" s="1"/>
  <c r="J38" i="4"/>
  <c r="H11" i="4"/>
  <c r="H17" i="4" s="1"/>
  <c r="H19" i="4"/>
  <c r="H27" i="4"/>
  <c r="E35" i="4"/>
  <c r="G36" i="4"/>
  <c r="P36" i="4" s="1"/>
  <c r="R36" i="4" s="1"/>
  <c r="K38" i="4"/>
  <c r="O40" i="4"/>
  <c r="I27" i="4"/>
  <c r="G35" i="4"/>
  <c r="M38" i="4"/>
  <c r="E8" i="4"/>
  <c r="P8" i="4" s="1"/>
  <c r="R8" i="4" s="1"/>
  <c r="G9" i="4"/>
  <c r="K11" i="4"/>
  <c r="M12" i="4"/>
  <c r="E16" i="4"/>
  <c r="K19" i="4"/>
  <c r="K32" i="4" s="1"/>
  <c r="M20" i="4"/>
  <c r="E24" i="4"/>
  <c r="P24" i="4" s="1"/>
  <c r="R24" i="4" s="1"/>
  <c r="G25" i="4"/>
  <c r="K27" i="4"/>
  <c r="M28" i="4"/>
  <c r="D32" i="4"/>
  <c r="H35" i="4"/>
  <c r="J36" i="4"/>
  <c r="N38" i="4"/>
  <c r="J27" i="4"/>
  <c r="L27" i="4"/>
  <c r="O38" i="4"/>
  <c r="G8" i="4"/>
  <c r="M11" i="4"/>
  <c r="G16" i="4"/>
  <c r="G24" i="4"/>
  <c r="L36" i="4"/>
  <c r="H8" i="4"/>
  <c r="L26" i="4"/>
  <c r="P26" i="4" s="1"/>
  <c r="R26" i="4" s="1"/>
  <c r="F31" i="4"/>
  <c r="P31" i="4" s="1"/>
  <c r="R31" i="4" s="1"/>
  <c r="K35" i="4"/>
  <c r="D17" i="4"/>
  <c r="J11" i="4"/>
  <c r="L11" i="4"/>
  <c r="I35" i="4"/>
  <c r="I9" i="4"/>
  <c r="I17" i="4" s="1"/>
  <c r="E23" i="4"/>
  <c r="P23" i="4" s="1"/>
  <c r="R23" i="4" s="1"/>
  <c r="E31" i="4"/>
  <c r="J35" i="4"/>
  <c r="F7" i="4"/>
  <c r="L10" i="4"/>
  <c r="H16" i="4"/>
  <c r="L18" i="4"/>
  <c r="F23" i="4"/>
  <c r="F32" i="4" s="1"/>
  <c r="J25" i="4"/>
  <c r="N27" i="4"/>
  <c r="M36" i="4"/>
  <c r="E6" i="4"/>
  <c r="G7" i="4"/>
  <c r="G17" i="4" s="1"/>
  <c r="I8" i="4"/>
  <c r="K9" i="4"/>
  <c r="M10" i="4"/>
  <c r="M17" i="4" s="1"/>
  <c r="O11" i="4"/>
  <c r="E14" i="4"/>
  <c r="G15" i="4"/>
  <c r="I16" i="4"/>
  <c r="M18" i="4"/>
  <c r="O19" i="4"/>
  <c r="E22" i="4"/>
  <c r="P22" i="4" s="1"/>
  <c r="R22" i="4" s="1"/>
  <c r="G23" i="4"/>
  <c r="I24" i="4"/>
  <c r="K25" i="4"/>
  <c r="M26" i="4"/>
  <c r="O27" i="4"/>
  <c r="O32" i="4" s="1"/>
  <c r="O33" i="4" s="1"/>
  <c r="O44" i="4" s="1"/>
  <c r="E30" i="4"/>
  <c r="G31" i="4"/>
  <c r="L35" i="4"/>
  <c r="N36" i="4"/>
  <c r="N42" i="4" s="1"/>
  <c r="F40" i="4"/>
  <c r="I11" i="4"/>
  <c r="I19" i="4"/>
  <c r="I32" i="4" s="1"/>
  <c r="I33" i="4" s="1"/>
  <c r="J19" i="4"/>
  <c r="F8" i="4"/>
  <c r="F16" i="4"/>
  <c r="P16" i="4" s="1"/>
  <c r="R16" i="4" s="1"/>
  <c r="L19" i="4"/>
  <c r="F24" i="4"/>
  <c r="E7" i="4"/>
  <c r="P7" i="4" s="1"/>
  <c r="R7" i="4" s="1"/>
  <c r="O12" i="4"/>
  <c r="O17" i="4" s="1"/>
  <c r="E15" i="4"/>
  <c r="P15" i="4" s="1"/>
  <c r="R15" i="4" s="1"/>
  <c r="M19" i="4"/>
  <c r="M27" i="4"/>
  <c r="J9" i="4"/>
  <c r="N11" i="4"/>
  <c r="F15" i="4"/>
  <c r="N19" i="4"/>
  <c r="N32" i="4" s="1"/>
  <c r="N33" i="4" s="1"/>
  <c r="N44" i="4" s="1"/>
  <c r="H24" i="4"/>
  <c r="E40" i="4"/>
  <c r="F6" i="4"/>
  <c r="H7" i="4"/>
  <c r="J8" i="4"/>
  <c r="J17" i="4" s="1"/>
  <c r="L9" i="4"/>
  <c r="F14" i="4"/>
  <c r="H15" i="4"/>
  <c r="J16" i="4"/>
  <c r="F22" i="4"/>
  <c r="H23" i="4"/>
  <c r="H32" i="4" s="1"/>
  <c r="H33" i="4" s="1"/>
  <c r="J24" i="4"/>
  <c r="L25" i="4"/>
  <c r="F30" i="4"/>
  <c r="H31" i="4"/>
  <c r="M35" i="4"/>
  <c r="O36" i="4"/>
  <c r="E39" i="4"/>
  <c r="P39" i="4" s="1"/>
  <c r="R39" i="4" s="1"/>
  <c r="G40" i="4"/>
  <c r="J7" i="4"/>
  <c r="L8" i="4"/>
  <c r="L17" i="4" s="1"/>
  <c r="N9" i="4"/>
  <c r="N17" i="4" s="1"/>
  <c r="J15" i="4"/>
  <c r="L16" i="4"/>
  <c r="J23" i="4"/>
  <c r="L24" i="4"/>
  <c r="N25" i="4"/>
  <c r="J31" i="4"/>
  <c r="O35" i="4"/>
  <c r="O42" i="4" s="1"/>
  <c r="E38" i="4"/>
  <c r="P38" i="4" s="1"/>
  <c r="R38" i="4" s="1"/>
  <c r="I40" i="4"/>
  <c r="K7" i="4"/>
  <c r="K17" i="4" s="1"/>
  <c r="M8" i="4"/>
  <c r="E12" i="4"/>
  <c r="P12" i="4" s="1"/>
  <c r="R12" i="4" s="1"/>
  <c r="K15" i="4"/>
  <c r="M16" i="4"/>
  <c r="E20" i="4"/>
  <c r="P20" i="4" s="1"/>
  <c r="R20" i="4" s="1"/>
  <c r="K23" i="4"/>
  <c r="M24" i="4"/>
  <c r="E28" i="4"/>
  <c r="P28" i="4" s="1"/>
  <c r="R28" i="4" s="1"/>
  <c r="K31" i="4"/>
  <c r="F38" i="4"/>
  <c r="F42" i="4" s="1"/>
  <c r="J40" i="4"/>
  <c r="O8" i="4"/>
  <c r="E11" i="4"/>
  <c r="P11" i="4" s="1"/>
  <c r="R11" i="4" s="1"/>
  <c r="O16" i="4"/>
  <c r="E19" i="4"/>
  <c r="M23" i="4"/>
  <c r="O24" i="4"/>
  <c r="E27" i="4"/>
  <c r="M31" i="4"/>
  <c r="H38" i="4"/>
  <c r="O41" i="2"/>
  <c r="O38" i="2"/>
  <c r="L27" i="2"/>
  <c r="E26" i="2"/>
  <c r="I26" i="2" s="1"/>
  <c r="E25" i="2"/>
  <c r="E24" i="2"/>
  <c r="E23" i="2"/>
  <c r="E22" i="2"/>
  <c r="E21" i="2"/>
  <c r="E20" i="2"/>
  <c r="L20" i="2" s="1"/>
  <c r="E19" i="2"/>
  <c r="E18" i="2"/>
  <c r="E16" i="2"/>
  <c r="E15" i="2"/>
  <c r="E14" i="2"/>
  <c r="E13" i="2"/>
  <c r="E12" i="2"/>
  <c r="O12" i="2" s="1"/>
  <c r="E11" i="2"/>
  <c r="E10" i="2"/>
  <c r="E9" i="2"/>
  <c r="M9" i="2" s="1"/>
  <c r="E8" i="2"/>
  <c r="H7" i="2"/>
  <c r="H30" i="2"/>
  <c r="O27" i="2"/>
  <c r="M27" i="2"/>
  <c r="H26" i="2"/>
  <c r="C17" i="2"/>
  <c r="F63" i="6" l="1"/>
  <c r="H3" i="6" s="1"/>
  <c r="H63" i="6" s="1"/>
  <c r="I3" i="6" s="1"/>
  <c r="I63" i="6" s="1"/>
  <c r="J3" i="6" s="1"/>
  <c r="J63" i="6" s="1"/>
  <c r="K3" i="6" s="1"/>
  <c r="K63" i="6" s="1"/>
  <c r="L3" i="6" s="1"/>
  <c r="L63" i="6" s="1"/>
  <c r="M3" i="6" s="1"/>
  <c r="M63" i="6" s="1"/>
  <c r="N3" i="6" s="1"/>
  <c r="N63" i="6" s="1"/>
  <c r="O3" i="6" s="1"/>
  <c r="O63" i="6" s="1"/>
  <c r="P34" i="6"/>
  <c r="H34" i="5"/>
  <c r="H45" i="5" s="1"/>
  <c r="M34" i="5"/>
  <c r="M45" i="5" s="1"/>
  <c r="L8" i="2"/>
  <c r="E17" i="2"/>
  <c r="G9" i="2"/>
  <c r="H9" i="2"/>
  <c r="I9" i="2"/>
  <c r="J9" i="2"/>
  <c r="K9" i="2"/>
  <c r="M8" i="2"/>
  <c r="M12" i="2"/>
  <c r="N12" i="2"/>
  <c r="E33" i="2"/>
  <c r="N34" i="5"/>
  <c r="N45" i="5" s="1"/>
  <c r="K34" i="5"/>
  <c r="K45" i="5" s="1"/>
  <c r="J34" i="5"/>
  <c r="J45" i="5" s="1"/>
  <c r="L34" i="5"/>
  <c r="L45" i="5" s="1"/>
  <c r="N20" i="2"/>
  <c r="G8" i="2"/>
  <c r="I8" i="2"/>
  <c r="G27" i="2"/>
  <c r="K8" i="2"/>
  <c r="J27" i="2"/>
  <c r="M14" i="2"/>
  <c r="F14" i="2"/>
  <c r="H15" i="2"/>
  <c r="F15" i="2"/>
  <c r="O18" i="2"/>
  <c r="F18" i="2"/>
  <c r="J15" i="2"/>
  <c r="K19" i="2"/>
  <c r="F19" i="2"/>
  <c r="H37" i="2"/>
  <c r="F37" i="2"/>
  <c r="M15" i="2"/>
  <c r="H21" i="2"/>
  <c r="F21" i="2"/>
  <c r="I38" i="2"/>
  <c r="F38" i="2"/>
  <c r="N15" i="2"/>
  <c r="L22" i="2"/>
  <c r="F22" i="2"/>
  <c r="O39" i="2"/>
  <c r="F39" i="2"/>
  <c r="M6" i="2"/>
  <c r="F6" i="2"/>
  <c r="O23" i="2"/>
  <c r="F23" i="2"/>
  <c r="J40" i="2"/>
  <c r="F40" i="2"/>
  <c r="K31" i="2"/>
  <c r="F31" i="2"/>
  <c r="O32" i="2"/>
  <c r="F32" i="2"/>
  <c r="O36" i="2"/>
  <c r="F36" i="2"/>
  <c r="K15" i="2"/>
  <c r="K20" i="2"/>
  <c r="F20" i="2"/>
  <c r="M20" i="2"/>
  <c r="O7" i="2"/>
  <c r="F7" i="2"/>
  <c r="O24" i="2"/>
  <c r="F24" i="2"/>
  <c r="N41" i="2"/>
  <c r="F41" i="2"/>
  <c r="J8" i="2"/>
  <c r="F8" i="2"/>
  <c r="M25" i="2"/>
  <c r="F25" i="2"/>
  <c r="M22" i="2"/>
  <c r="N9" i="2"/>
  <c r="F9" i="2"/>
  <c r="O26" i="2"/>
  <c r="F26" i="2"/>
  <c r="L16" i="2"/>
  <c r="F16" i="2"/>
  <c r="I15" i="2"/>
  <c r="N22" i="2"/>
  <c r="L10" i="2"/>
  <c r="F10" i="2"/>
  <c r="N27" i="2"/>
  <c r="F27" i="2"/>
  <c r="G25" i="2"/>
  <c r="M11" i="2"/>
  <c r="F11" i="2"/>
  <c r="J28" i="2"/>
  <c r="F28" i="2"/>
  <c r="O9" i="2"/>
  <c r="H25" i="2"/>
  <c r="H12" i="2"/>
  <c r="F12" i="2"/>
  <c r="N29" i="2"/>
  <c r="F29" i="2"/>
  <c r="I12" i="2"/>
  <c r="I25" i="2"/>
  <c r="O13" i="2"/>
  <c r="F13" i="2"/>
  <c r="O30" i="2"/>
  <c r="F30" i="2"/>
  <c r="O34" i="5"/>
  <c r="O45" i="5" s="1"/>
  <c r="I34" i="5"/>
  <c r="I45" i="5" s="1"/>
  <c r="R36" i="5"/>
  <c r="G34" i="5"/>
  <c r="I37" i="2"/>
  <c r="K37" i="2"/>
  <c r="J37" i="2"/>
  <c r="G37" i="2"/>
  <c r="O20" i="2"/>
  <c r="L37" i="2"/>
  <c r="N6" i="2"/>
  <c r="L9" i="2"/>
  <c r="H19" i="2"/>
  <c r="M37" i="2"/>
  <c r="O22" i="2"/>
  <c r="O6" i="2"/>
  <c r="N37" i="2"/>
  <c r="I19" i="2"/>
  <c r="G7" i="2"/>
  <c r="J19" i="2"/>
  <c r="G26" i="2"/>
  <c r="O37" i="2"/>
  <c r="J38" i="2"/>
  <c r="K38" i="2"/>
  <c r="H8" i="2"/>
  <c r="J12" i="2"/>
  <c r="I20" i="2"/>
  <c r="J26" i="2"/>
  <c r="L38" i="2"/>
  <c r="J20" i="2"/>
  <c r="K26" i="2"/>
  <c r="M38" i="2"/>
  <c r="G20" i="2"/>
  <c r="H20" i="2"/>
  <c r="K12" i="2"/>
  <c r="L12" i="2"/>
  <c r="L26" i="2"/>
  <c r="N38" i="2"/>
  <c r="F33" i="4"/>
  <c r="F44" i="4" s="1"/>
  <c r="K33" i="4"/>
  <c r="G33" i="4"/>
  <c r="P19" i="4"/>
  <c r="R19" i="4" s="1"/>
  <c r="P30" i="4"/>
  <c r="R30" i="4" s="1"/>
  <c r="E17" i="4"/>
  <c r="P6" i="4"/>
  <c r="R6" i="4" s="1"/>
  <c r="P17" i="4"/>
  <c r="G42" i="4"/>
  <c r="K42" i="4"/>
  <c r="E32" i="4"/>
  <c r="E33" i="4" s="1"/>
  <c r="E44" i="4" s="1"/>
  <c r="H42" i="4"/>
  <c r="H44" i="4" s="1"/>
  <c r="P35" i="4"/>
  <c r="L32" i="4"/>
  <c r="L33" i="4" s="1"/>
  <c r="E42" i="4"/>
  <c r="M42" i="4"/>
  <c r="F17" i="4"/>
  <c r="M32" i="4"/>
  <c r="M33" i="4" s="1"/>
  <c r="M44" i="4" s="1"/>
  <c r="P25" i="4"/>
  <c r="R25" i="4" s="1"/>
  <c r="P18" i="4"/>
  <c r="R18" i="4" s="1"/>
  <c r="P40" i="4"/>
  <c r="R40" i="4" s="1"/>
  <c r="J32" i="4"/>
  <c r="J33" i="4" s="1"/>
  <c r="P14" i="4"/>
  <c r="R14" i="4" s="1"/>
  <c r="J42" i="4"/>
  <c r="P10" i="4"/>
  <c r="R10" i="4" s="1"/>
  <c r="L42" i="4"/>
  <c r="I42" i="4"/>
  <c r="I44" i="4" s="1"/>
  <c r="P9" i="4"/>
  <c r="R9" i="4" s="1"/>
  <c r="G41" i="2"/>
  <c r="H41" i="2"/>
  <c r="I41" i="2"/>
  <c r="J41" i="2"/>
  <c r="K41" i="2"/>
  <c r="L41" i="2"/>
  <c r="M41" i="2"/>
  <c r="K40" i="2"/>
  <c r="N40" i="2"/>
  <c r="G40" i="2"/>
  <c r="L40" i="2"/>
  <c r="O40" i="2"/>
  <c r="H40" i="2"/>
  <c r="M40" i="2"/>
  <c r="I40" i="2"/>
  <c r="H39" i="2"/>
  <c r="I39" i="2"/>
  <c r="K39" i="2"/>
  <c r="L39" i="2"/>
  <c r="G39" i="2"/>
  <c r="J39" i="2"/>
  <c r="M39" i="2"/>
  <c r="N39" i="2"/>
  <c r="H38" i="2"/>
  <c r="G38" i="2"/>
  <c r="I36" i="2"/>
  <c r="J36" i="2"/>
  <c r="K36" i="2"/>
  <c r="G36" i="2"/>
  <c r="L36" i="2"/>
  <c r="M36" i="2"/>
  <c r="H36" i="2"/>
  <c r="N36" i="2"/>
  <c r="H32" i="2"/>
  <c r="I32" i="2"/>
  <c r="J32" i="2"/>
  <c r="K32" i="2"/>
  <c r="N32" i="2"/>
  <c r="G32" i="2"/>
  <c r="L32" i="2"/>
  <c r="M32" i="2"/>
  <c r="L31" i="2"/>
  <c r="M31" i="2"/>
  <c r="N31" i="2"/>
  <c r="O31" i="2"/>
  <c r="G31" i="2"/>
  <c r="H31" i="2"/>
  <c r="I31" i="2"/>
  <c r="J31" i="2"/>
  <c r="M30" i="2"/>
  <c r="G30" i="2"/>
  <c r="I30" i="2"/>
  <c r="J30" i="2"/>
  <c r="K30" i="2"/>
  <c r="L30" i="2"/>
  <c r="N30" i="2"/>
  <c r="O29" i="2"/>
  <c r="G29" i="2"/>
  <c r="H29" i="2"/>
  <c r="J29" i="2"/>
  <c r="K29" i="2"/>
  <c r="I29" i="2"/>
  <c r="L29" i="2"/>
  <c r="M29" i="2"/>
  <c r="L28" i="2"/>
  <c r="H28" i="2"/>
  <c r="M28" i="2"/>
  <c r="O28" i="2"/>
  <c r="N28" i="2"/>
  <c r="K28" i="2"/>
  <c r="G28" i="2"/>
  <c r="I28" i="2"/>
  <c r="H27" i="2"/>
  <c r="I27" i="2"/>
  <c r="K27" i="2"/>
  <c r="M26" i="2"/>
  <c r="N26" i="2"/>
  <c r="N25" i="2"/>
  <c r="K25" i="2"/>
  <c r="O25" i="2"/>
  <c r="J25" i="2"/>
  <c r="L25" i="2"/>
  <c r="G24" i="2"/>
  <c r="H24" i="2"/>
  <c r="I24" i="2"/>
  <c r="J24" i="2"/>
  <c r="K24" i="2"/>
  <c r="L24" i="2"/>
  <c r="M24" i="2"/>
  <c r="N24" i="2"/>
  <c r="G23" i="2"/>
  <c r="H23" i="2"/>
  <c r="K23" i="2"/>
  <c r="L23" i="2"/>
  <c r="M23" i="2"/>
  <c r="I23" i="2"/>
  <c r="J23" i="2"/>
  <c r="N23" i="2"/>
  <c r="G22" i="2"/>
  <c r="H22" i="2"/>
  <c r="I22" i="2"/>
  <c r="J22" i="2"/>
  <c r="K22" i="2"/>
  <c r="N21" i="2"/>
  <c r="G21" i="2"/>
  <c r="J21" i="2"/>
  <c r="K21" i="2"/>
  <c r="M21" i="2"/>
  <c r="I21" i="2"/>
  <c r="L21" i="2"/>
  <c r="O21" i="2"/>
  <c r="L19" i="2"/>
  <c r="M19" i="2"/>
  <c r="O19" i="2"/>
  <c r="N19" i="2"/>
  <c r="G19" i="2"/>
  <c r="H18" i="2"/>
  <c r="L18" i="2"/>
  <c r="I18" i="2"/>
  <c r="J18" i="2"/>
  <c r="K18" i="2"/>
  <c r="N18" i="2"/>
  <c r="G18" i="2"/>
  <c r="M18" i="2"/>
  <c r="N16" i="2"/>
  <c r="O16" i="2"/>
  <c r="G16" i="2"/>
  <c r="I16" i="2"/>
  <c r="J16" i="2"/>
  <c r="M16" i="2"/>
  <c r="H16" i="2"/>
  <c r="K16" i="2"/>
  <c r="L15" i="2"/>
  <c r="O15" i="2"/>
  <c r="G15" i="2"/>
  <c r="G14" i="2"/>
  <c r="H14" i="2"/>
  <c r="I14" i="2"/>
  <c r="J14" i="2"/>
  <c r="K14" i="2"/>
  <c r="L14" i="2"/>
  <c r="N14" i="2"/>
  <c r="O14" i="2"/>
  <c r="G13" i="2"/>
  <c r="I13" i="2"/>
  <c r="J13" i="2"/>
  <c r="L13" i="2"/>
  <c r="M13" i="2"/>
  <c r="H13" i="2"/>
  <c r="K13" i="2"/>
  <c r="N13" i="2"/>
  <c r="G12" i="2"/>
  <c r="N11" i="2"/>
  <c r="L11" i="2"/>
  <c r="M10" i="2"/>
  <c r="G10" i="2"/>
  <c r="H10" i="2"/>
  <c r="I10" i="2"/>
  <c r="O10" i="2"/>
  <c r="J10" i="2"/>
  <c r="K10" i="2"/>
  <c r="N10" i="2"/>
  <c r="N8" i="2"/>
  <c r="O8" i="2"/>
  <c r="K7" i="2"/>
  <c r="L7" i="2"/>
  <c r="J7" i="2"/>
  <c r="N7" i="2"/>
  <c r="I7" i="2"/>
  <c r="M7" i="2"/>
  <c r="H6" i="2"/>
  <c r="J6" i="2"/>
  <c r="K6" i="2"/>
  <c r="I6" i="2"/>
  <c r="L6" i="2"/>
  <c r="G6" i="2"/>
  <c r="G11" i="2"/>
  <c r="H11" i="2"/>
  <c r="O11" i="2"/>
  <c r="I11" i="2"/>
  <c r="J11" i="2"/>
  <c r="K11" i="2"/>
  <c r="C43" i="2"/>
  <c r="P42" i="2"/>
  <c r="C33" i="2"/>
  <c r="R35" i="2"/>
  <c r="P45" i="6" l="1"/>
  <c r="P45" i="5"/>
  <c r="P24" i="2"/>
  <c r="R24" i="2" s="1"/>
  <c r="F43" i="2"/>
  <c r="F17" i="2"/>
  <c r="F33" i="2"/>
  <c r="F34" i="2" s="1"/>
  <c r="G63" i="5"/>
  <c r="H3" i="5" s="1"/>
  <c r="H63" i="5" s="1"/>
  <c r="I3" i="5" s="1"/>
  <c r="I63" i="5" s="1"/>
  <c r="J3" i="5" s="1"/>
  <c r="J63" i="5" s="1"/>
  <c r="K3" i="5" s="1"/>
  <c r="K63" i="5" s="1"/>
  <c r="L3" i="5" s="1"/>
  <c r="L63" i="5" s="1"/>
  <c r="M3" i="5" s="1"/>
  <c r="M63" i="5" s="1"/>
  <c r="N3" i="5" s="1"/>
  <c r="N63" i="5" s="1"/>
  <c r="O3" i="5" s="1"/>
  <c r="O63" i="5" s="1"/>
  <c r="P11" i="2"/>
  <c r="R11" i="2" s="1"/>
  <c r="R35" i="4"/>
  <c r="P42" i="4"/>
  <c r="E62" i="4"/>
  <c r="F3" i="4" s="1"/>
  <c r="F62" i="4" s="1"/>
  <c r="G3" i="4" s="1"/>
  <c r="P32" i="4"/>
  <c r="P33" i="4" s="1"/>
  <c r="J44" i="4"/>
  <c r="G44" i="4"/>
  <c r="P44" i="4" s="1"/>
  <c r="K44" i="4"/>
  <c r="L44" i="4"/>
  <c r="C34" i="2"/>
  <c r="C45" i="2" s="1"/>
  <c r="C63" i="2" s="1"/>
  <c r="D3" i="2" s="1"/>
  <c r="D63" i="2" s="1"/>
  <c r="F45" i="2" l="1"/>
  <c r="G62" i="4"/>
  <c r="H3" i="4" s="1"/>
  <c r="H62" i="4" s="1"/>
  <c r="I3" i="4" s="1"/>
  <c r="I62" i="4" s="1"/>
  <c r="J3" i="4" s="1"/>
  <c r="J62" i="4" s="1"/>
  <c r="K3" i="4" s="1"/>
  <c r="K62" i="4" s="1"/>
  <c r="L3" i="4" s="1"/>
  <c r="L62" i="4" s="1"/>
  <c r="M3" i="4" s="1"/>
  <c r="M62" i="4" s="1"/>
  <c r="N3" i="4" s="1"/>
  <c r="N62" i="4" s="1"/>
  <c r="O3" i="4" s="1"/>
  <c r="O62" i="4" s="1"/>
  <c r="P27" i="2"/>
  <c r="R27" i="2" s="1"/>
  <c r="P18" i="2"/>
  <c r="R18" i="2" s="1"/>
  <c r="R42" i="2" l="1"/>
  <c r="P8" i="2" l="1"/>
  <c r="R8" i="2" s="1"/>
  <c r="P21" i="2"/>
  <c r="R21" i="2" s="1"/>
  <c r="P23" i="2"/>
  <c r="R23" i="2" s="1"/>
  <c r="P9" i="2"/>
  <c r="R9" i="2" s="1"/>
  <c r="P16" i="2"/>
  <c r="R16" i="2" s="1"/>
  <c r="P29" i="2"/>
  <c r="R29" i="2" s="1"/>
  <c r="P13" i="2"/>
  <c r="R13" i="2" s="1"/>
  <c r="P10" i="2"/>
  <c r="R10" i="2" s="1"/>
  <c r="I17" i="2"/>
  <c r="P26" i="2"/>
  <c r="R26" i="2" s="1"/>
  <c r="P20" i="2"/>
  <c r="R20" i="2" s="1"/>
  <c r="P7" i="2"/>
  <c r="R7" i="2" s="1"/>
  <c r="P31" i="2"/>
  <c r="R31" i="2" s="1"/>
  <c r="M43" i="2"/>
  <c r="P38" i="2"/>
  <c r="R38" i="2" s="1"/>
  <c r="N33" i="2"/>
  <c r="P25" i="2"/>
  <c r="R25" i="2" s="1"/>
  <c r="P40" i="2"/>
  <c r="R40" i="2" s="1"/>
  <c r="P14" i="2"/>
  <c r="R14" i="2" s="1"/>
  <c r="P28" i="2"/>
  <c r="R28" i="2" s="1"/>
  <c r="P41" i="2"/>
  <c r="R41" i="2" s="1"/>
  <c r="P32" i="2"/>
  <c r="R32" i="2" s="1"/>
  <c r="P30" i="2"/>
  <c r="R30" i="2" s="1"/>
  <c r="P22" i="2"/>
  <c r="R22" i="2" s="1"/>
  <c r="P36" i="2"/>
  <c r="N43" i="2"/>
  <c r="M17" i="2"/>
  <c r="P15" i="2"/>
  <c r="R15" i="2" s="1"/>
  <c r="H17" i="2"/>
  <c r="O17" i="2"/>
  <c r="P12" i="2"/>
  <c r="R12" i="2" s="1"/>
  <c r="I43" i="2"/>
  <c r="I33" i="2"/>
  <c r="J43" i="2"/>
  <c r="P6" i="2"/>
  <c r="R6" i="2" s="1"/>
  <c r="P19" i="2"/>
  <c r="R19" i="2" s="1"/>
  <c r="J17" i="2"/>
  <c r="P39" i="2"/>
  <c r="R39" i="2" s="1"/>
  <c r="L43" i="2"/>
  <c r="N17" i="2"/>
  <c r="G43" i="2"/>
  <c r="K17" i="2"/>
  <c r="K33" i="2"/>
  <c r="K43" i="2"/>
  <c r="H33" i="2"/>
  <c r="L17" i="2"/>
  <c r="M33" i="2"/>
  <c r="O33" i="2"/>
  <c r="J33" i="2"/>
  <c r="H43" i="2"/>
  <c r="G17" i="2"/>
  <c r="G33" i="2"/>
  <c r="L33" i="2"/>
  <c r="P37" i="2"/>
  <c r="R37" i="2" s="1"/>
  <c r="O43" i="2"/>
  <c r="F3" i="2" l="1"/>
  <c r="N34" i="2"/>
  <c r="N45" i="2" s="1"/>
  <c r="P33" i="2"/>
  <c r="H34" i="2"/>
  <c r="H45" i="2" s="1"/>
  <c r="I34" i="2"/>
  <c r="I45" i="2" s="1"/>
  <c r="K34" i="2"/>
  <c r="K45" i="2" s="1"/>
  <c r="G34" i="2"/>
  <c r="G45" i="2" s="1"/>
  <c r="R36" i="2"/>
  <c r="P43" i="2"/>
  <c r="P17" i="2"/>
  <c r="L34" i="2"/>
  <c r="L45" i="2" s="1"/>
  <c r="J34" i="2"/>
  <c r="J45" i="2" s="1"/>
  <c r="O34" i="2"/>
  <c r="O45" i="2" s="1"/>
  <c r="M34" i="2"/>
  <c r="M45" i="2" s="1"/>
  <c r="F63" i="2" l="1"/>
  <c r="G3" i="2" s="1"/>
  <c r="P34" i="2"/>
  <c r="P45" i="2"/>
  <c r="G63" i="2" l="1"/>
  <c r="H3" i="2" s="1"/>
  <c r="H63" i="2" s="1"/>
  <c r="I3" i="2" s="1"/>
  <c r="I63" i="2" s="1"/>
  <c r="J3" i="2" s="1"/>
  <c r="J63" i="2" s="1"/>
  <c r="K3" i="2" s="1"/>
  <c r="K63" i="2" s="1"/>
  <c r="L3" i="2" s="1"/>
  <c r="L63" i="2" s="1"/>
  <c r="M3" i="2" s="1"/>
  <c r="M63" i="2" s="1"/>
  <c r="N3" i="2" s="1"/>
  <c r="N63" i="2" s="1"/>
  <c r="O3" i="2" s="1"/>
  <c r="O63" i="2" s="1"/>
  <c r="J22" i="8"/>
  <c r="J33" i="8"/>
  <c r="J27" i="8"/>
  <c r="J16" i="8"/>
  <c r="J14" i="8"/>
  <c r="J12" i="8"/>
  <c r="J23" i="8"/>
  <c r="J7" i="8"/>
  <c r="J38" i="8"/>
  <c r="J11" i="8"/>
  <c r="J9" i="8"/>
  <c r="J30" i="8"/>
  <c r="J45" i="8"/>
  <c r="J21" i="8"/>
  <c r="J20" i="8"/>
  <c r="J41" i="8"/>
  <c r="J13" i="8"/>
  <c r="J26" i="8"/>
  <c r="J25" i="8"/>
  <c r="J8" i="8"/>
  <c r="J29" i="8"/>
  <c r="J40" i="8"/>
  <c r="J15" i="8"/>
  <c r="J19" i="8"/>
  <c r="J35" i="8"/>
  <c r="J31" i="8"/>
  <c r="J24" i="8"/>
  <c r="J28" i="8"/>
  <c r="J6" i="8"/>
  <c r="J42" i="8"/>
  <c r="J39" i="8"/>
  <c r="J10" i="8"/>
  <c r="J37" i="8"/>
  <c r="J18" i="8"/>
  <c r="N33" i="8" l="1"/>
  <c r="L33" i="8"/>
  <c r="K33" i="8"/>
  <c r="O33" i="8"/>
  <c r="M33" i="8"/>
  <c r="O31" i="8"/>
  <c r="L31" i="8"/>
  <c r="N31" i="8"/>
  <c r="K31" i="8"/>
  <c r="M31" i="8"/>
  <c r="N30" i="8"/>
  <c r="L30" i="8"/>
  <c r="O30" i="8"/>
  <c r="M30" i="8"/>
  <c r="K30" i="8"/>
  <c r="M29" i="8"/>
  <c r="L29" i="8"/>
  <c r="O29" i="8"/>
  <c r="N29" i="8"/>
  <c r="K29" i="8"/>
  <c r="M28" i="8"/>
  <c r="L28" i="8"/>
  <c r="K28" i="8"/>
  <c r="O28" i="8"/>
  <c r="N28" i="8"/>
  <c r="N27" i="8"/>
  <c r="K27" i="8"/>
  <c r="O27" i="8"/>
  <c r="L27" i="8"/>
  <c r="M27" i="8"/>
  <c r="L26" i="8"/>
  <c r="O26" i="8"/>
  <c r="N26" i="8"/>
  <c r="K26" i="8"/>
  <c r="M26" i="8"/>
  <c r="O25" i="8"/>
  <c r="N25" i="8"/>
  <c r="L25" i="8"/>
  <c r="M25" i="8"/>
  <c r="K25" i="8"/>
  <c r="K24" i="8"/>
  <c r="O24" i="8"/>
  <c r="L24" i="8"/>
  <c r="M24" i="8"/>
  <c r="N24" i="8"/>
  <c r="N23" i="8"/>
  <c r="K23" i="8"/>
  <c r="O23" i="8"/>
  <c r="L23" i="8"/>
  <c r="M23" i="8"/>
  <c r="O22" i="8"/>
  <c r="K22" i="8"/>
  <c r="N22" i="8"/>
  <c r="L22" i="8"/>
  <c r="M22" i="8"/>
  <c r="N21" i="8"/>
  <c r="L21" i="8"/>
  <c r="M21" i="8"/>
  <c r="K21" i="8"/>
  <c r="O21" i="8"/>
  <c r="O20" i="8"/>
  <c r="K20" i="8"/>
  <c r="N20" i="8"/>
  <c r="M20" i="8"/>
  <c r="L20" i="8"/>
  <c r="M19" i="8"/>
  <c r="K19" i="8"/>
  <c r="O19" i="8"/>
  <c r="L19" i="8"/>
  <c r="N19" i="8"/>
  <c r="M18" i="8"/>
  <c r="K18" i="8"/>
  <c r="L18" i="8"/>
  <c r="O18" i="8"/>
  <c r="N18" i="8"/>
  <c r="O16" i="8"/>
  <c r="M16" i="8"/>
  <c r="N16" i="8"/>
  <c r="L16" i="8"/>
  <c r="K16" i="8"/>
  <c r="O15" i="8"/>
  <c r="L15" i="8"/>
  <c r="M15" i="8"/>
  <c r="N15" i="8"/>
  <c r="K15" i="8"/>
  <c r="N14" i="8"/>
  <c r="M14" i="8"/>
  <c r="L14" i="8"/>
  <c r="K14" i="8"/>
  <c r="O14" i="8"/>
  <c r="O13" i="8"/>
  <c r="L13" i="8"/>
  <c r="N13" i="8"/>
  <c r="M13" i="8"/>
  <c r="K13" i="8"/>
  <c r="M12" i="8"/>
  <c r="K12" i="8"/>
  <c r="O12" i="8"/>
  <c r="L12" i="8"/>
  <c r="N12" i="8"/>
  <c r="M11" i="8"/>
  <c r="L11" i="8"/>
  <c r="O11" i="8"/>
  <c r="N11" i="8"/>
  <c r="K11" i="8"/>
  <c r="O10" i="8"/>
  <c r="N10" i="8"/>
  <c r="M10" i="8"/>
  <c r="L10" i="8"/>
  <c r="K10" i="8"/>
  <c r="N9" i="8"/>
  <c r="M9" i="8"/>
  <c r="O9" i="8"/>
  <c r="K9" i="8"/>
  <c r="L9" i="8"/>
  <c r="O8" i="8"/>
  <c r="L8" i="8"/>
  <c r="N8" i="8"/>
  <c r="M8" i="8"/>
  <c r="K8" i="8"/>
  <c r="N7" i="8"/>
  <c r="L7" i="8"/>
  <c r="O7" i="8"/>
  <c r="K7" i="8"/>
  <c r="M7" i="8"/>
  <c r="K6" i="8"/>
  <c r="M6" i="8"/>
  <c r="O6" i="8"/>
  <c r="L6" i="8"/>
  <c r="N6" i="8"/>
  <c r="P10" i="8"/>
  <c r="R10" i="8" s="1"/>
  <c r="J47" i="8"/>
  <c r="J34" i="8"/>
  <c r="J17" i="8"/>
  <c r="P25" i="8" l="1"/>
  <c r="R25" i="8" s="1"/>
  <c r="P15" i="8"/>
  <c r="R15" i="8" s="1"/>
  <c r="P26" i="8"/>
  <c r="R26" i="8" s="1"/>
  <c r="M17" i="8"/>
  <c r="P8" i="8"/>
  <c r="R8" i="8" s="1"/>
  <c r="P16" i="8"/>
  <c r="R16" i="8" s="1"/>
  <c r="P38" i="8"/>
  <c r="R38" i="8" s="1"/>
  <c r="P21" i="8"/>
  <c r="R21" i="8" s="1"/>
  <c r="O17" i="8"/>
  <c r="P28" i="8"/>
  <c r="R28" i="8" s="1"/>
  <c r="P41" i="8"/>
  <c r="R41" i="8" s="1"/>
  <c r="N45" i="8"/>
  <c r="N34" i="8"/>
  <c r="P19" i="8"/>
  <c r="R19" i="8" s="1"/>
  <c r="P40" i="8"/>
  <c r="R40" i="8" s="1"/>
  <c r="P39" i="8"/>
  <c r="R39" i="8" s="1"/>
  <c r="M45" i="8"/>
  <c r="O45" i="8"/>
  <c r="K45" i="8"/>
  <c r="P42" i="8"/>
  <c r="R42" i="8" s="1"/>
  <c r="P29" i="8"/>
  <c r="R29" i="8" s="1"/>
  <c r="P11" i="8"/>
  <c r="R11" i="8" s="1"/>
  <c r="K34" i="8"/>
  <c r="P20" i="8"/>
  <c r="R20" i="8" s="1"/>
  <c r="P23" i="8"/>
  <c r="R23" i="8" s="1"/>
  <c r="N17" i="8"/>
  <c r="P22" i="8"/>
  <c r="R22" i="8" s="1"/>
  <c r="P27" i="8"/>
  <c r="R27" i="8" s="1"/>
  <c r="P9" i="8"/>
  <c r="R9" i="8" s="1"/>
  <c r="P13" i="8"/>
  <c r="R13" i="8" s="1"/>
  <c r="P7" i="8"/>
  <c r="R7" i="8" s="1"/>
  <c r="P14" i="8"/>
  <c r="R14" i="8" s="1"/>
  <c r="P31" i="8"/>
  <c r="R31" i="8" s="1"/>
  <c r="O34" i="8"/>
  <c r="P12" i="8"/>
  <c r="R12" i="8" s="1"/>
  <c r="P30" i="8"/>
  <c r="R30" i="8" s="1"/>
  <c r="K17" i="8"/>
  <c r="P6" i="8"/>
  <c r="R6" i="8" s="1"/>
  <c r="L17" i="8"/>
  <c r="L34" i="8"/>
  <c r="P18" i="8"/>
  <c r="R18" i="8" s="1"/>
  <c r="P24" i="8"/>
  <c r="R24" i="8" s="1"/>
  <c r="L45" i="8"/>
  <c r="P37" i="8"/>
  <c r="M34" i="8"/>
  <c r="M35" i="8" s="1"/>
  <c r="P33" i="8"/>
  <c r="R33" i="8" s="1"/>
  <c r="N35" i="8" l="1"/>
  <c r="N47" i="8" s="1"/>
  <c r="O35" i="8"/>
  <c r="O47" i="8" s="1"/>
  <c r="K35" i="8"/>
  <c r="K47" i="8" s="1"/>
  <c r="L3" i="8" s="1"/>
  <c r="M47" i="8"/>
  <c r="L35" i="8"/>
  <c r="P17" i="8"/>
  <c r="P45" i="8"/>
  <c r="R37" i="8"/>
  <c r="P34" i="8"/>
  <c r="L47" i="8"/>
  <c r="P47" i="8" s="1"/>
  <c r="P35" i="8" l="1"/>
  <c r="L65" i="8"/>
  <c r="M3" i="8" s="1"/>
  <c r="M65" i="8" s="1"/>
  <c r="N3" i="8" s="1"/>
  <c r="N65" i="8" s="1"/>
  <c r="O3" i="8" s="1"/>
</calcChain>
</file>

<file path=xl/sharedStrings.xml><?xml version="1.0" encoding="utf-8"?>
<sst xmlns="http://schemas.openxmlformats.org/spreadsheetml/2006/main" count="1272" uniqueCount="135">
  <si>
    <t>Fund: 01</t>
  </si>
  <si>
    <t>District/Agency: 73486 - Glendale Community College</t>
  </si>
  <si>
    <t>Description</t>
  </si>
  <si>
    <t>Object Codes</t>
  </si>
  <si>
    <t>01-July</t>
  </si>
  <si>
    <t>02-August</t>
  </si>
  <si>
    <t>03-September</t>
  </si>
  <si>
    <t>04-October</t>
  </si>
  <si>
    <t>05-November</t>
  </si>
  <si>
    <t>06-December</t>
  </si>
  <si>
    <t>07-January</t>
  </si>
  <si>
    <t>08-February</t>
  </si>
  <si>
    <t>09-March</t>
  </si>
  <si>
    <t>10-April</t>
  </si>
  <si>
    <t>11-May</t>
  </si>
  <si>
    <t>12-June</t>
  </si>
  <si>
    <t>Year-To-Date</t>
  </si>
  <si>
    <t>Beginning Balance</t>
  </si>
  <si>
    <t>9110</t>
  </si>
  <si>
    <t>Federal Revenue</t>
  </si>
  <si>
    <t>8100-8299</t>
  </si>
  <si>
    <t>Other Local Revenue</t>
  </si>
  <si>
    <t>8600-8799</t>
  </si>
  <si>
    <t>Undefined</t>
  </si>
  <si>
    <t>8800-8899</t>
  </si>
  <si>
    <t>TOTAL RECEIPTS</t>
  </si>
  <si>
    <t>Certificated Salaries</t>
  </si>
  <si>
    <t>1000-1999</t>
  </si>
  <si>
    <t>Classified Salaries</t>
  </si>
  <si>
    <t>2000-2999</t>
  </si>
  <si>
    <t>Employee Benefits</t>
  </si>
  <si>
    <t>3000-3999</t>
  </si>
  <si>
    <t>Books and Supplies</t>
  </si>
  <si>
    <t>4000-4999</t>
  </si>
  <si>
    <t>Serv. &amp; Other Oper. Expenditures</t>
  </si>
  <si>
    <t>5000-5999</t>
  </si>
  <si>
    <t>Capital Outlay</t>
  </si>
  <si>
    <t>6000-6999</t>
  </si>
  <si>
    <t>Other Disbursements/Non Expenditures</t>
  </si>
  <si>
    <t>0000-0999</t>
  </si>
  <si>
    <t>TOTAL DISBURSEMENTS</t>
  </si>
  <si>
    <t>Net Operating Income/(Deficit)</t>
  </si>
  <si>
    <t>ASSETS</t>
  </si>
  <si>
    <t>Other Cash Equivalents</t>
  </si>
  <si>
    <t>9111-9149</t>
  </si>
  <si>
    <t>Investments</t>
  </si>
  <si>
    <t>9150-9199</t>
  </si>
  <si>
    <t>Acct Receivables &amp; Other Current Assets</t>
  </si>
  <si>
    <t>9200-9399</t>
  </si>
  <si>
    <t>Capital Assets</t>
  </si>
  <si>
    <t>9400-9499</t>
  </si>
  <si>
    <t>LIABILITIES</t>
  </si>
  <si>
    <t>Other Liabilities</t>
  </si>
  <si>
    <t>0999</t>
  </si>
  <si>
    <t>Accounts Payable</t>
  </si>
  <si>
    <t>9500-9540</t>
  </si>
  <si>
    <t>9541-9659</t>
  </si>
  <si>
    <t>L-T Liability not in Govt/Exp Trust Fd</t>
  </si>
  <si>
    <t>9660-9669</t>
  </si>
  <si>
    <t>9670-9699</t>
  </si>
  <si>
    <t>Fund Balance/Net Assets</t>
  </si>
  <si>
    <t>9700-9799</t>
  </si>
  <si>
    <t>Error Account</t>
  </si>
  <si>
    <t>9999</t>
  </si>
  <si>
    <t>Other Balance Sheet Transactions</t>
  </si>
  <si>
    <t>9xxx (9000-9109) &amp; 9800-9998</t>
  </si>
  <si>
    <t>Total Balance Sheet Acct Transactions</t>
  </si>
  <si>
    <t>Ending Cash Balance</t>
  </si>
  <si>
    <t xml:space="preserve">     State General Apportionment</t>
  </si>
  <si>
    <t>8610</t>
  </si>
  <si>
    <t xml:space="preserve">     Energy Program</t>
  </si>
  <si>
    <t>8615</t>
  </si>
  <si>
    <t xml:space="preserve">     Apportionment-Prior Year</t>
  </si>
  <si>
    <t>8616</t>
  </si>
  <si>
    <t xml:space="preserve">     Part Time Parity</t>
  </si>
  <si>
    <t>8617</t>
  </si>
  <si>
    <t>8619</t>
  </si>
  <si>
    <t xml:space="preserve">     Board of Governors Grant</t>
  </si>
  <si>
    <t>8624</t>
  </si>
  <si>
    <t xml:space="preserve">     Return To Title IV</t>
  </si>
  <si>
    <t>8630</t>
  </si>
  <si>
    <t xml:space="preserve">     Homeowners Prop Tax Relief</t>
  </si>
  <si>
    <t>8672</t>
  </si>
  <si>
    <t xml:space="preserve">     Lottery Income</t>
  </si>
  <si>
    <t>8680</t>
  </si>
  <si>
    <t xml:space="preserve">    Other State Revenue</t>
  </si>
  <si>
    <t>8690</t>
  </si>
  <si>
    <t xml:space="preserve">     State Mandated Costs</t>
  </si>
  <si>
    <t>8691</t>
  </si>
  <si>
    <t xml:space="preserve">     Secured Roll Taxes</t>
  </si>
  <si>
    <t>8811</t>
  </si>
  <si>
    <t xml:space="preserve">     Supplemental Taxes</t>
  </si>
  <si>
    <t>8812</t>
  </si>
  <si>
    <t xml:space="preserve">     Uncovered Taxes</t>
  </si>
  <si>
    <t>8813</t>
  </si>
  <si>
    <t xml:space="preserve">     Prior Year Taxes</t>
  </si>
  <si>
    <t>8816</t>
  </si>
  <si>
    <t xml:space="preserve">     Supplemental Taxes - ERAF(8810)</t>
  </si>
  <si>
    <t>8817</t>
  </si>
  <si>
    <t xml:space="preserve">     District Taxes</t>
  </si>
  <si>
    <t>8818</t>
  </si>
  <si>
    <t xml:space="preserve">     Rents/Leases</t>
  </si>
  <si>
    <t>8850</t>
  </si>
  <si>
    <t xml:space="preserve">     Interest</t>
  </si>
  <si>
    <t>8860</t>
  </si>
  <si>
    <t xml:space="preserve">     Nonresident Tuition</t>
  </si>
  <si>
    <t>8872</t>
  </si>
  <si>
    <t xml:space="preserve">     Application Fees</t>
  </si>
  <si>
    <t>8873</t>
  </si>
  <si>
    <t xml:space="preserve">     Transcripts</t>
  </si>
  <si>
    <t>8874</t>
  </si>
  <si>
    <t xml:space="preserve">     Enrollment Fees</t>
  </si>
  <si>
    <t>8879</t>
  </si>
  <si>
    <t xml:space="preserve">     Misc.</t>
  </si>
  <si>
    <t>8890</t>
  </si>
  <si>
    <t>7/1/23-6/30/24</t>
  </si>
  <si>
    <t xml:space="preserve">     ASGCC Contribution Credit</t>
  </si>
  <si>
    <t>8869</t>
  </si>
  <si>
    <t>7/1/2023-8/31/2023</t>
  </si>
  <si>
    <t>8845</t>
  </si>
  <si>
    <t>7/1/2023-7/31/2023</t>
  </si>
  <si>
    <t>7/1/2023-9/30/2023</t>
  </si>
  <si>
    <t>8100-8299 (8170)</t>
  </si>
  <si>
    <t>7/1/2023-10/31/2023</t>
  </si>
  <si>
    <t xml:space="preserve">     Student ID Cards</t>
  </si>
  <si>
    <t>8882</t>
  </si>
  <si>
    <t>Trsnf Indirect/Direct Support Costs</t>
  </si>
  <si>
    <t>7300-7399</t>
  </si>
  <si>
    <t>7/1/2023-11/30/2023</t>
  </si>
  <si>
    <t xml:space="preserve">     Part Time Faculty Insurance</t>
  </si>
  <si>
    <t>7/1/2023-12/31/2023</t>
  </si>
  <si>
    <t>7/1/2023-1/31/2024</t>
  </si>
  <si>
    <t>7/1/2023-2/29/2024</t>
  </si>
  <si>
    <t>7/1/2023-4/30/2024</t>
  </si>
  <si>
    <t>7/1/2023-5/31/2024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</si>
</sst>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0"/>
      <color rgb="FF000000"/>
      <name val="Arial"/>
      <family val="2"/>
    </font>
    <font>
      <sz val="9"/>
      <color rgb="FF333333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9434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9434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 wrapText="1"/>
    </xf>
    <xf numFmtId="49" fontId="4" fillId="2" borderId="5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3" fontId="4" fillId="2" borderId="2" xfId="1" applyFont="1" applyFill="1" applyBorder="1" applyAlignment="1">
      <alignment horizontal="right"/>
    </xf>
    <xf numFmtId="43" fontId="4" fillId="2" borderId="3" xfId="1" applyFont="1" applyFill="1" applyBorder="1" applyAlignment="1">
      <alignment horizontal="right"/>
    </xf>
    <xf numFmtId="43" fontId="3" fillId="2" borderId="0" xfId="1" applyFont="1" applyFill="1" applyAlignment="1">
      <alignment horizontal="left"/>
    </xf>
    <xf numFmtId="43" fontId="3" fillId="2" borderId="0" xfId="1" applyFont="1" applyFill="1" applyAlignment="1">
      <alignment horizontal="right"/>
    </xf>
    <xf numFmtId="43" fontId="4" fillId="2" borderId="4" xfId="1" applyFont="1" applyFill="1" applyBorder="1" applyAlignment="1">
      <alignment horizontal="right"/>
    </xf>
    <xf numFmtId="43" fontId="4" fillId="2" borderId="5" xfId="1" applyFont="1" applyFill="1" applyBorder="1" applyAlignment="1">
      <alignment horizontal="right"/>
    </xf>
    <xf numFmtId="43" fontId="2" fillId="2" borderId="0" xfId="1" applyFont="1" applyFill="1" applyAlignment="1">
      <alignment horizontal="left"/>
    </xf>
    <xf numFmtId="43" fontId="0" fillId="0" borderId="0" xfId="1" applyFont="1"/>
    <xf numFmtId="49" fontId="5" fillId="3" borderId="0" xfId="0" applyNumberFormat="1" applyFont="1" applyFill="1" applyAlignment="1">
      <alignment horizontal="left"/>
    </xf>
    <xf numFmtId="49" fontId="5" fillId="3" borderId="0" xfId="0" applyNumberFormat="1" applyFont="1" applyFill="1" applyAlignment="1">
      <alignment horizontal="right"/>
    </xf>
    <xf numFmtId="49" fontId="6" fillId="4" borderId="3" xfId="0" applyNumberFormat="1" applyFont="1" applyFill="1" applyBorder="1" applyAlignment="1">
      <alignment horizontal="right"/>
    </xf>
    <xf numFmtId="43" fontId="6" fillId="4" borderId="3" xfId="1" applyFont="1" applyFill="1" applyBorder="1" applyAlignment="1">
      <alignment horizontal="left"/>
    </xf>
    <xf numFmtId="43" fontId="3" fillId="2" borderId="1" xfId="1" applyFont="1" applyFill="1" applyBorder="1" applyAlignment="1"/>
    <xf numFmtId="43" fontId="3" fillId="3" borderId="0" xfId="1" applyFont="1" applyFill="1" applyAlignment="1">
      <alignment horizontal="right"/>
    </xf>
    <xf numFmtId="43" fontId="6" fillId="4" borderId="1" xfId="1" applyFont="1" applyFill="1" applyBorder="1" applyAlignment="1"/>
    <xf numFmtId="43" fontId="6" fillId="4" borderId="0" xfId="1" applyFont="1" applyFill="1" applyAlignment="1">
      <alignment horizontal="left"/>
    </xf>
    <xf numFmtId="43" fontId="6" fillId="4" borderId="0" xfId="1" applyFont="1" applyFill="1" applyAlignment="1">
      <alignment horizontal="right"/>
    </xf>
    <xf numFmtId="43" fontId="6" fillId="4" borderId="4" xfId="1" applyFont="1" applyFill="1" applyBorder="1" applyAlignment="1">
      <alignment horizontal="right"/>
    </xf>
    <xf numFmtId="43" fontId="6" fillId="4" borderId="3" xfId="1" applyFont="1" applyFill="1" applyBorder="1" applyAlignment="1">
      <alignment horizontal="right"/>
    </xf>
    <xf numFmtId="43" fontId="6" fillId="4" borderId="5" xfId="1" applyFont="1" applyFill="1" applyBorder="1" applyAlignment="1">
      <alignment horizontal="right"/>
    </xf>
    <xf numFmtId="43" fontId="7" fillId="2" borderId="0" xfId="1" applyFont="1" applyFill="1" applyAlignment="1">
      <alignment horizontal="left"/>
    </xf>
    <xf numFmtId="43" fontId="8" fillId="0" borderId="0" xfId="1" applyFont="1"/>
    <xf numFmtId="43" fontId="6" fillId="4" borderId="2" xfId="1" applyFont="1" applyFill="1" applyBorder="1" applyAlignment="1">
      <alignment horizontal="right"/>
    </xf>
    <xf numFmtId="43" fontId="6" fillId="4" borderId="4" xfId="1" applyFont="1" applyFill="1" applyBorder="1" applyAlignment="1">
      <alignment horizontal="left"/>
    </xf>
    <xf numFmtId="43" fontId="6" fillId="4" borderId="5" xfId="1" applyFont="1" applyFill="1" applyBorder="1" applyAlignment="1">
      <alignment horizontal="left"/>
    </xf>
    <xf numFmtId="43" fontId="6" fillId="0" borderId="0" xfId="1" applyFont="1" applyFill="1" applyAlignment="1">
      <alignment horizontal="right"/>
    </xf>
    <xf numFmtId="43" fontId="6" fillId="0" borderId="0" xfId="1" applyFont="1" applyFill="1" applyBorder="1" applyAlignment="1">
      <alignment horizontal="right"/>
    </xf>
    <xf numFmtId="43" fontId="9" fillId="2" borderId="0" xfId="0" applyNumberFormat="1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right"/>
    </xf>
    <xf numFmtId="49" fontId="10" fillId="2" borderId="0" xfId="0" applyNumberFormat="1" applyFont="1" applyFill="1" applyAlignment="1">
      <alignment horizontal="left"/>
    </xf>
    <xf numFmtId="43" fontId="4" fillId="4" borderId="3" xfId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3" fontId="4" fillId="4" borderId="1" xfId="1" applyFont="1" applyFill="1" applyBorder="1" applyAlignment="1"/>
    <xf numFmtId="43" fontId="4" fillId="4" borderId="2" xfId="1" applyFont="1" applyFill="1" applyBorder="1" applyAlignment="1">
      <alignment horizontal="right"/>
    </xf>
    <xf numFmtId="49" fontId="4" fillId="4" borderId="3" xfId="0" applyNumberFormat="1" applyFont="1" applyFill="1" applyBorder="1" applyAlignment="1">
      <alignment horizontal="right"/>
    </xf>
    <xf numFmtId="43" fontId="4" fillId="4" borderId="3" xfId="1" applyFont="1" applyFill="1" applyBorder="1" applyAlignment="1">
      <alignment horizontal="right"/>
    </xf>
    <xf numFmtId="43" fontId="4" fillId="4" borderId="0" xfId="1" applyFont="1" applyFill="1" applyAlignment="1">
      <alignment horizontal="left"/>
    </xf>
    <xf numFmtId="43" fontId="4" fillId="4" borderId="0" xfId="1" applyFont="1" applyFill="1" applyAlignment="1">
      <alignment horizontal="right"/>
    </xf>
    <xf numFmtId="43" fontId="4" fillId="0" borderId="0" xfId="1" applyFont="1" applyFill="1" applyAlignment="1">
      <alignment horizontal="right"/>
    </xf>
    <xf numFmtId="43" fontId="2" fillId="2" borderId="0" xfId="0" applyNumberFormat="1" applyFont="1" applyFill="1" applyAlignment="1">
      <alignment horizontal="left"/>
    </xf>
    <xf numFmtId="43" fontId="4" fillId="4" borderId="4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4" borderId="4" xfId="1" applyFont="1" applyFill="1" applyBorder="1" applyAlignment="1">
      <alignment horizontal="left"/>
    </xf>
    <xf numFmtId="43" fontId="4" fillId="4" borderId="5" xfId="1" applyFont="1" applyFill="1" applyBorder="1" applyAlignment="1">
      <alignment horizontal="right"/>
    </xf>
    <xf numFmtId="43" fontId="4" fillId="4" borderId="5" xfId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3" fontId="3" fillId="2" borderId="1" xfId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9FFC1-ED14-452B-AD36-9B9A80FD94D3}">
  <sheetPr>
    <pageSetUpPr fitToPage="1"/>
  </sheetPr>
  <dimension ref="A1:R66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41" sqref="N41"/>
    </sheetView>
  </sheetViews>
  <sheetFormatPr defaultRowHeight="12.75" x14ac:dyDescent="0.2"/>
  <cols>
    <col min="1" max="1" width="35.5703125" customWidth="1"/>
    <col min="2" max="2" width="20" customWidth="1"/>
    <col min="3" max="13" width="20" style="22" customWidth="1"/>
    <col min="14" max="14" width="22.42578125" style="36" bestFit="1" customWidth="1"/>
    <col min="15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9" t="s">
        <v>0</v>
      </c>
      <c r="B1" s="69"/>
      <c r="C1" s="27"/>
      <c r="D1" s="27"/>
      <c r="E1" s="27" t="s">
        <v>1</v>
      </c>
      <c r="F1" s="27"/>
      <c r="G1" s="27"/>
      <c r="H1" s="27"/>
      <c r="I1" s="27"/>
      <c r="J1" s="27"/>
      <c r="K1" s="27"/>
      <c r="L1" s="27"/>
      <c r="M1" s="27"/>
      <c r="N1" s="29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  <c r="K2" s="16" t="s">
        <v>12</v>
      </c>
      <c r="L2" s="16" t="s">
        <v>13</v>
      </c>
      <c r="M2" s="16" t="s">
        <v>14</v>
      </c>
      <c r="N2" s="25" t="s">
        <v>16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 t="shared" ref="D3:G3" si="0">C65</f>
        <v>17276325.860000003</v>
      </c>
      <c r="E3" s="16">
        <f t="shared" si="0"/>
        <v>16141735.990000002</v>
      </c>
      <c r="F3" s="16">
        <f t="shared" si="0"/>
        <v>29148168.039999999</v>
      </c>
      <c r="G3" s="16">
        <f t="shared" si="0"/>
        <v>25608081.890000008</v>
      </c>
      <c r="H3" s="16">
        <f t="shared" ref="H3:M3" si="1">G65</f>
        <v>20755863.520000007</v>
      </c>
      <c r="I3" s="16">
        <f t="shared" si="1"/>
        <v>23280868.340000007</v>
      </c>
      <c r="J3" s="16">
        <f t="shared" si="1"/>
        <v>19874297.690000009</v>
      </c>
      <c r="K3" s="16">
        <f t="shared" si="1"/>
        <v>16159430.54000001</v>
      </c>
      <c r="L3" s="16">
        <f t="shared" si="1"/>
        <v>19884852.560000014</v>
      </c>
      <c r="M3" s="16">
        <f t="shared" si="1"/>
        <v>17524740.670000013</v>
      </c>
      <c r="N3" s="50" t="s">
        <v>134</v>
      </c>
      <c r="O3" s="16">
        <f>M65</f>
        <v>25079317.040000018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30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18">
        <v>0</v>
      </c>
      <c r="I5" s="18">
        <v>0</v>
      </c>
      <c r="J5" s="18">
        <v>0</v>
      </c>
      <c r="K5" s="18">
        <v>-150599</v>
      </c>
      <c r="L5" s="18">
        <v>0</v>
      </c>
      <c r="M5" s="18">
        <v>150599</v>
      </c>
      <c r="N5" s="31">
        <f t="shared" ref="N5:N16" si="2">SUM(C5:M5)</f>
        <v>0</v>
      </c>
      <c r="O5" s="18">
        <f>($Q5-$N5)/1</f>
        <v>1000</v>
      </c>
      <c r="P5" s="31">
        <f t="shared" ref="P5:P31" si="3">SUM(C5:O5)-N5</f>
        <v>1000</v>
      </c>
      <c r="Q5" s="40">
        <v>1000</v>
      </c>
      <c r="R5" s="42">
        <f>P5-Q5</f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28">
        <v>2773191</v>
      </c>
      <c r="I6" s="28">
        <v>6488557</v>
      </c>
      <c r="J6" s="28">
        <v>5511785</v>
      </c>
      <c r="K6" s="28">
        <v>12463349.01</v>
      </c>
      <c r="L6" s="28">
        <v>4563537</v>
      </c>
      <c r="M6" s="28">
        <v>4563538</v>
      </c>
      <c r="N6" s="31">
        <f t="shared" si="2"/>
        <v>62431945.009999998</v>
      </c>
      <c r="O6" s="28">
        <f>($Q6-$N6)/1</f>
        <v>22395951.990000002</v>
      </c>
      <c r="P6" s="31">
        <f t="shared" si="3"/>
        <v>84827897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28">
        <v>89675</v>
      </c>
      <c r="I7" s="28">
        <v>143481</v>
      </c>
      <c r="J7" s="28">
        <v>143481</v>
      </c>
      <c r="K7" s="28">
        <v>143481</v>
      </c>
      <c r="L7" s="28">
        <v>143481</v>
      </c>
      <c r="M7" s="28">
        <v>143481</v>
      </c>
      <c r="N7" s="31">
        <f t="shared" si="2"/>
        <v>1650031</v>
      </c>
      <c r="O7" s="28">
        <f t="shared" ref="O5:O16" si="4">($Q7-$N7)/1</f>
        <v>143481</v>
      </c>
      <c r="P7" s="31">
        <f t="shared" si="3"/>
        <v>1793512</v>
      </c>
      <c r="Q7" s="40">
        <v>1793512</v>
      </c>
      <c r="R7" s="42">
        <f t="shared" ref="R7:R42" si="5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28">
        <v>0</v>
      </c>
      <c r="I8" s="28">
        <v>0</v>
      </c>
      <c r="J8" s="28">
        <v>-903451</v>
      </c>
      <c r="K8" s="28">
        <v>0</v>
      </c>
      <c r="L8" s="28">
        <v>0</v>
      </c>
      <c r="M8" s="28">
        <v>0</v>
      </c>
      <c r="N8" s="31">
        <f t="shared" si="2"/>
        <v>9141528</v>
      </c>
      <c r="O8" s="28">
        <f t="shared" si="4"/>
        <v>-9141528</v>
      </c>
      <c r="P8" s="31">
        <f t="shared" si="3"/>
        <v>0</v>
      </c>
      <c r="Q8" s="40">
        <v>0</v>
      </c>
      <c r="R8" s="42">
        <f t="shared" si="5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28">
        <v>16008</v>
      </c>
      <c r="I9" s="28">
        <v>25614</v>
      </c>
      <c r="J9" s="28">
        <v>15149</v>
      </c>
      <c r="K9" s="28">
        <v>25613</v>
      </c>
      <c r="L9" s="28">
        <v>25614</v>
      </c>
      <c r="M9" s="28">
        <v>25613</v>
      </c>
      <c r="N9" s="31">
        <f t="shared" si="2"/>
        <v>284091</v>
      </c>
      <c r="O9" s="28">
        <f t="shared" si="4"/>
        <v>25909</v>
      </c>
      <c r="P9" s="31">
        <f t="shared" si="3"/>
        <v>310000</v>
      </c>
      <c r="Q9" s="40">
        <v>310000</v>
      </c>
      <c r="R9" s="42">
        <f t="shared" si="5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353277</v>
      </c>
      <c r="K10" s="28">
        <v>0</v>
      </c>
      <c r="L10" s="28">
        <v>0</v>
      </c>
      <c r="M10" s="28">
        <v>0</v>
      </c>
      <c r="N10" s="31">
        <f t="shared" si="2"/>
        <v>353277</v>
      </c>
      <c r="O10" s="28">
        <f t="shared" si="4"/>
        <v>968128</v>
      </c>
      <c r="P10" s="31">
        <f t="shared" si="3"/>
        <v>1321405</v>
      </c>
      <c r="Q10" s="40">
        <v>1321405</v>
      </c>
      <c r="R10" s="42">
        <f t="shared" si="5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28">
        <v>6967</v>
      </c>
      <c r="I11" s="28">
        <v>11146</v>
      </c>
      <c r="J11" s="28">
        <v>11147</v>
      </c>
      <c r="K11" s="28">
        <v>11146</v>
      </c>
      <c r="L11" s="28">
        <v>11147</v>
      </c>
      <c r="M11" s="28">
        <v>11146</v>
      </c>
      <c r="N11" s="31">
        <f t="shared" si="2"/>
        <v>128185</v>
      </c>
      <c r="O11" s="28">
        <f t="shared" si="4"/>
        <v>21815</v>
      </c>
      <c r="P11" s="31">
        <f t="shared" si="3"/>
        <v>150000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2051453</v>
      </c>
      <c r="I12" s="28">
        <v>-2051453</v>
      </c>
      <c r="J12" s="28">
        <v>20284</v>
      </c>
      <c r="K12" s="28">
        <v>0</v>
      </c>
      <c r="L12" s="28">
        <v>0</v>
      </c>
      <c r="M12" s="28">
        <v>0</v>
      </c>
      <c r="N12" s="31">
        <f t="shared" si="2"/>
        <v>20284</v>
      </c>
      <c r="O12" s="28">
        <f t="shared" si="4"/>
        <v>5716</v>
      </c>
      <c r="P12" s="31">
        <f t="shared" si="3"/>
        <v>26000</v>
      </c>
      <c r="Q12" s="40">
        <v>26000</v>
      </c>
      <c r="R12" s="42">
        <f t="shared" si="5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8231.5</v>
      </c>
      <c r="I13" s="28">
        <v>19206.830000000002</v>
      </c>
      <c r="J13" s="28">
        <v>0</v>
      </c>
      <c r="K13" s="28">
        <v>0</v>
      </c>
      <c r="L13" s="28">
        <v>0</v>
      </c>
      <c r="M13" s="28">
        <v>19194.150000000001</v>
      </c>
      <c r="N13" s="31">
        <f t="shared" si="2"/>
        <v>46632.480000000003</v>
      </c>
      <c r="O13" s="28">
        <f t="shared" si="4"/>
        <v>-46632.480000000003</v>
      </c>
      <c r="P13" s="31">
        <f t="shared" si="3"/>
        <v>0</v>
      </c>
      <c r="Q13" s="40">
        <v>0</v>
      </c>
      <c r="R13" s="42">
        <f t="shared" si="5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28">
        <v>1199709.76</v>
      </c>
      <c r="I14" s="28">
        <v>0</v>
      </c>
      <c r="J14" s="28">
        <v>0</v>
      </c>
      <c r="K14" s="28">
        <v>1083972.7</v>
      </c>
      <c r="L14" s="28">
        <v>-379562.63</v>
      </c>
      <c r="M14" s="28">
        <v>0</v>
      </c>
      <c r="N14" s="31">
        <f t="shared" si="2"/>
        <v>2004908.7700000005</v>
      </c>
      <c r="O14" s="28">
        <f t="shared" si="4"/>
        <v>650286.22999999952</v>
      </c>
      <c r="P14" s="31">
        <f t="shared" si="3"/>
        <v>2655195</v>
      </c>
      <c r="Q14" s="40">
        <v>2655195</v>
      </c>
      <c r="R14" s="42">
        <f t="shared" si="5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31">
        <f t="shared" si="2"/>
        <v>0</v>
      </c>
      <c r="O15" s="28">
        <f t="shared" si="4"/>
        <v>0</v>
      </c>
      <c r="P15" s="31">
        <f t="shared" si="3"/>
        <v>0</v>
      </c>
      <c r="Q15" s="40">
        <v>0</v>
      </c>
      <c r="R15" s="42">
        <f t="shared" si="5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31">
        <f t="shared" si="2"/>
        <v>478796</v>
      </c>
      <c r="O16" s="28">
        <f t="shared" si="4"/>
        <v>-28796</v>
      </c>
      <c r="P16" s="31">
        <f t="shared" si="3"/>
        <v>450000</v>
      </c>
      <c r="Q16" s="40">
        <v>450000</v>
      </c>
      <c r="R16" s="42">
        <f t="shared" si="5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v>4617346</v>
      </c>
      <c r="D17" s="18">
        <v>4617345</v>
      </c>
      <c r="E17" s="18">
        <v>17659330.199999999</v>
      </c>
      <c r="F17" s="18">
        <v>5184138.74</v>
      </c>
      <c r="G17" s="18">
        <v>5673309</v>
      </c>
      <c r="H17" s="18">
        <v>6145235.2599999998</v>
      </c>
      <c r="I17" s="18">
        <v>4636551.83</v>
      </c>
      <c r="J17" s="18">
        <v>5151672</v>
      </c>
      <c r="K17" s="18">
        <v>13727561.710000001</v>
      </c>
      <c r="L17" s="18">
        <v>4364216.37</v>
      </c>
      <c r="M17" s="18">
        <v>4762972.1500000004</v>
      </c>
      <c r="N17" s="31">
        <f>SUM(N6:N16)</f>
        <v>76539678.25999999</v>
      </c>
      <c r="O17" s="18">
        <f>SUM(O6:O16)</f>
        <v>14994330.740000002</v>
      </c>
      <c r="P17" s="31">
        <f t="shared" si="3"/>
        <v>91534009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5657380.1799999997</v>
      </c>
      <c r="I18" s="28">
        <v>1414345.04</v>
      </c>
      <c r="J18" s="28">
        <v>792950.26</v>
      </c>
      <c r="K18" s="28">
        <v>0</v>
      </c>
      <c r="L18" s="28">
        <v>4188745.26</v>
      </c>
      <c r="M18" s="28">
        <v>1625352.95</v>
      </c>
      <c r="N18" s="31">
        <f t="shared" ref="N18:N31" si="6">SUM(C18:M18)</f>
        <v>13678773.689999998</v>
      </c>
      <c r="O18" s="28">
        <f t="shared" ref="O18:O31" si="7">($Q18-$N18)/1</f>
        <v>321226.31000000238</v>
      </c>
      <c r="P18" s="31">
        <f t="shared" si="3"/>
        <v>14000000</v>
      </c>
      <c r="Q18" s="40">
        <v>14000000</v>
      </c>
      <c r="R18" s="42">
        <f t="shared" si="5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28">
        <v>2325.27</v>
      </c>
      <c r="I19" s="28">
        <v>28490.65</v>
      </c>
      <c r="J19" s="28">
        <v>35489.11</v>
      </c>
      <c r="K19" s="28">
        <v>15368.44</v>
      </c>
      <c r="L19" s="28">
        <v>28691.360000000001</v>
      </c>
      <c r="M19" s="28">
        <v>80724.240000000005</v>
      </c>
      <c r="N19" s="31">
        <f t="shared" si="6"/>
        <v>323571.67999999993</v>
      </c>
      <c r="O19" s="28">
        <f t="shared" si="7"/>
        <v>-43571.679999999935</v>
      </c>
      <c r="P19" s="31">
        <f t="shared" si="3"/>
        <v>280000</v>
      </c>
      <c r="Q19" s="40">
        <v>280000</v>
      </c>
      <c r="R19" s="42">
        <f t="shared" si="5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28">
        <v>0</v>
      </c>
      <c r="I20" s="28">
        <v>0</v>
      </c>
      <c r="J20" s="28">
        <v>0</v>
      </c>
      <c r="K20" s="28">
        <v>32750.81</v>
      </c>
      <c r="L20" s="28">
        <v>0</v>
      </c>
      <c r="M20" s="28">
        <v>0</v>
      </c>
      <c r="N20" s="31">
        <f t="shared" si="6"/>
        <v>443015.11</v>
      </c>
      <c r="O20" s="28">
        <f t="shared" si="7"/>
        <v>-223015.11</v>
      </c>
      <c r="P20" s="31">
        <f t="shared" si="3"/>
        <v>220000</v>
      </c>
      <c r="Q20" s="40">
        <v>220000</v>
      </c>
      <c r="R20" s="42">
        <f t="shared" si="5"/>
        <v>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28">
        <v>92907.790000000008</v>
      </c>
      <c r="I21" s="28">
        <v>800.32</v>
      </c>
      <c r="J21" s="28">
        <v>-105385.18</v>
      </c>
      <c r="K21" s="28">
        <v>10805.83</v>
      </c>
      <c r="L21" s="28">
        <v>-13590.08</v>
      </c>
      <c r="M21" s="28">
        <v>-49308.95</v>
      </c>
      <c r="N21" s="31">
        <f t="shared" si="6"/>
        <v>328362.27999999997</v>
      </c>
      <c r="O21" s="28">
        <f t="shared" si="7"/>
        <v>-128362.27999999997</v>
      </c>
      <c r="P21" s="31">
        <f t="shared" si="3"/>
        <v>200000.00000000006</v>
      </c>
      <c r="Q21" s="40">
        <v>200000</v>
      </c>
      <c r="R21" s="42">
        <f t="shared" si="5"/>
        <v>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28">
        <v>427171.94</v>
      </c>
      <c r="I22" s="28">
        <v>0</v>
      </c>
      <c r="J22" s="28">
        <v>250323.67</v>
      </c>
      <c r="K22" s="28">
        <v>0</v>
      </c>
      <c r="L22" s="28">
        <v>0</v>
      </c>
      <c r="M22" s="28">
        <v>11099388.710000001</v>
      </c>
      <c r="N22" s="31">
        <f t="shared" si="6"/>
        <v>11853501.870000001</v>
      </c>
      <c r="O22" s="28">
        <f t="shared" si="7"/>
        <v>-3353501.870000001</v>
      </c>
      <c r="P22" s="31">
        <f t="shared" si="3"/>
        <v>8500000</v>
      </c>
      <c r="Q22" s="40">
        <v>8500000</v>
      </c>
      <c r="R22" s="42">
        <f t="shared" si="5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1085599.1100000001</v>
      </c>
      <c r="J23" s="28">
        <v>0</v>
      </c>
      <c r="K23" s="28">
        <v>0</v>
      </c>
      <c r="L23" s="28">
        <v>0</v>
      </c>
      <c r="M23" s="28">
        <v>0</v>
      </c>
      <c r="N23" s="31">
        <f t="shared" si="6"/>
        <v>1085599.1100000001</v>
      </c>
      <c r="O23" s="28">
        <f t="shared" si="7"/>
        <v>785096.8899999999</v>
      </c>
      <c r="P23" s="31">
        <f t="shared" si="3"/>
        <v>1870696.0000000002</v>
      </c>
      <c r="Q23" s="40">
        <v>1870696</v>
      </c>
      <c r="R23" s="42">
        <f t="shared" si="5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28">
        <v>10</v>
      </c>
      <c r="I24" s="28">
        <v>5</v>
      </c>
      <c r="J24" s="28">
        <v>5</v>
      </c>
      <c r="K24" s="28">
        <v>0</v>
      </c>
      <c r="L24" s="28">
        <v>0</v>
      </c>
      <c r="M24" s="28">
        <v>0</v>
      </c>
      <c r="N24" s="31">
        <f t="shared" si="6"/>
        <v>45</v>
      </c>
      <c r="O24" s="28">
        <f t="shared" si="7"/>
        <v>-45</v>
      </c>
      <c r="P24" s="31">
        <f t="shared" si="3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28">
        <v>3807</v>
      </c>
      <c r="I25" s="28">
        <v>640</v>
      </c>
      <c r="J25" s="28">
        <v>1513.4</v>
      </c>
      <c r="K25" s="28">
        <v>2261.52</v>
      </c>
      <c r="L25" s="28">
        <v>16006</v>
      </c>
      <c r="M25" s="28">
        <v>25624.68</v>
      </c>
      <c r="N25" s="31">
        <f t="shared" si="6"/>
        <v>62441.4</v>
      </c>
      <c r="O25" s="28">
        <f t="shared" si="7"/>
        <v>-42441.399999999994</v>
      </c>
      <c r="P25" s="31">
        <f t="shared" si="3"/>
        <v>20000.000000000007</v>
      </c>
      <c r="Q25" s="40">
        <v>20000.000000000004</v>
      </c>
      <c r="R25" s="42">
        <f t="shared" si="5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28">
        <v>0.06</v>
      </c>
      <c r="I26" s="28">
        <v>0.04</v>
      </c>
      <c r="J26" s="28">
        <v>305321.87</v>
      </c>
      <c r="K26" s="28">
        <v>-53906.99</v>
      </c>
      <c r="L26" s="28">
        <v>0</v>
      </c>
      <c r="M26" s="28">
        <v>253547.74</v>
      </c>
      <c r="N26" s="31">
        <f t="shared" si="6"/>
        <v>784402.29</v>
      </c>
      <c r="O26" s="28">
        <f t="shared" si="7"/>
        <v>-276094.29000000004</v>
      </c>
      <c r="P26" s="31">
        <f t="shared" si="3"/>
        <v>508308</v>
      </c>
      <c r="Q26" s="40">
        <v>508308</v>
      </c>
      <c r="R26" s="42">
        <f t="shared" si="5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176868</v>
      </c>
      <c r="J27" s="28">
        <v>0</v>
      </c>
      <c r="K27" s="28">
        <v>0</v>
      </c>
      <c r="L27" s="28">
        <v>0</v>
      </c>
      <c r="M27" s="28">
        <v>0</v>
      </c>
      <c r="N27" s="31">
        <f t="shared" si="6"/>
        <v>176868</v>
      </c>
      <c r="O27" s="28">
        <f t="shared" si="7"/>
        <v>-51868</v>
      </c>
      <c r="P27" s="31">
        <f t="shared" si="3"/>
        <v>125000</v>
      </c>
      <c r="Q27" s="40">
        <v>125000</v>
      </c>
      <c r="R27" s="42">
        <f t="shared" si="5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28">
        <v>37880</v>
      </c>
      <c r="I28" s="28">
        <v>-15080</v>
      </c>
      <c r="J28" s="28">
        <v>-19425</v>
      </c>
      <c r="K28" s="28">
        <v>-4550</v>
      </c>
      <c r="L28" s="28">
        <v>-2600</v>
      </c>
      <c r="M28" s="28">
        <v>827346</v>
      </c>
      <c r="N28" s="31">
        <f t="shared" si="6"/>
        <v>1911096</v>
      </c>
      <c r="O28" s="28">
        <f t="shared" si="7"/>
        <v>88904</v>
      </c>
      <c r="P28" s="31">
        <f t="shared" si="3"/>
        <v>2000000</v>
      </c>
      <c r="Q28" s="40">
        <v>2000000</v>
      </c>
      <c r="R28" s="42">
        <f t="shared" si="5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28">
        <v>1143.42</v>
      </c>
      <c r="I29" s="28">
        <v>600</v>
      </c>
      <c r="J29" s="28">
        <v>840</v>
      </c>
      <c r="K29" s="28">
        <v>0</v>
      </c>
      <c r="L29" s="28">
        <v>2340</v>
      </c>
      <c r="M29" s="28">
        <v>0</v>
      </c>
      <c r="N29" s="31">
        <f t="shared" si="6"/>
        <v>9003.42</v>
      </c>
      <c r="O29" s="28">
        <f t="shared" si="7"/>
        <v>996.57999999999993</v>
      </c>
      <c r="P29" s="31">
        <f t="shared" si="3"/>
        <v>9999.9999999999982</v>
      </c>
      <c r="Q29" s="40">
        <v>10000</v>
      </c>
      <c r="R29" s="42">
        <f t="shared" si="5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28">
        <v>110</v>
      </c>
      <c r="I30" s="28">
        <v>9159.9</v>
      </c>
      <c r="J30" s="28">
        <v>9860</v>
      </c>
      <c r="K30" s="28">
        <v>15437.25</v>
      </c>
      <c r="L30" s="28">
        <v>20347.45</v>
      </c>
      <c r="M30" s="28">
        <v>13594.9</v>
      </c>
      <c r="N30" s="31">
        <f t="shared" si="6"/>
        <v>115347.7</v>
      </c>
      <c r="O30" s="28">
        <f t="shared" si="7"/>
        <v>34652.300000000003</v>
      </c>
      <c r="P30" s="31">
        <f t="shared" si="3"/>
        <v>150000</v>
      </c>
      <c r="Q30" s="40">
        <v>150000</v>
      </c>
      <c r="R30" s="42">
        <f t="shared" si="5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28">
        <v>66926.960000000006</v>
      </c>
      <c r="I31" s="28">
        <v>-18816.5</v>
      </c>
      <c r="J31" s="28">
        <v>-5886.5</v>
      </c>
      <c r="K31" s="28">
        <v>-3093.5</v>
      </c>
      <c r="L31" s="28">
        <v>-2028.5</v>
      </c>
      <c r="M31" s="28">
        <v>1389141</v>
      </c>
      <c r="N31" s="31">
        <f t="shared" si="6"/>
        <v>3428849.46</v>
      </c>
      <c r="O31" s="28">
        <f t="shared" si="7"/>
        <v>472554.54000000004</v>
      </c>
      <c r="P31" s="31">
        <f t="shared" si="3"/>
        <v>3901404</v>
      </c>
      <c r="Q31" s="40">
        <v>3901404</v>
      </c>
      <c r="R31" s="42">
        <f t="shared" si="5"/>
        <v>0</v>
      </c>
    </row>
    <row r="32" spans="1:18" s="1" customFormat="1" ht="19.7" customHeight="1" x14ac:dyDescent="0.2">
      <c r="A32" s="47" t="s">
        <v>124</v>
      </c>
      <c r="B32" s="48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28">
        <v>-10</v>
      </c>
      <c r="I32" s="28"/>
      <c r="J32" s="28">
        <v>10</v>
      </c>
      <c r="K32" s="28">
        <v>0</v>
      </c>
      <c r="L32" s="28">
        <v>0</v>
      </c>
      <c r="M32" s="28"/>
      <c r="N32" s="31"/>
      <c r="O32" s="28"/>
      <c r="P32" s="31"/>
      <c r="Q32" s="40"/>
      <c r="R32" s="42"/>
    </row>
    <row r="33" spans="1:18" s="1" customFormat="1" ht="19.7" customHeight="1" x14ac:dyDescent="0.2">
      <c r="A33" s="23" t="s">
        <v>113</v>
      </c>
      <c r="B33" s="24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10537.46</v>
      </c>
      <c r="H33" s="28">
        <v>88303.14</v>
      </c>
      <c r="I33" s="28">
        <v>6735.07</v>
      </c>
      <c r="J33" s="28">
        <v>31836.57</v>
      </c>
      <c r="K33" s="28">
        <v>12523.36</v>
      </c>
      <c r="L33" s="28">
        <v>13374.32</v>
      </c>
      <c r="M33" s="28">
        <v>13925.04</v>
      </c>
      <c r="N33" s="31">
        <f>SUM(C33:M33)</f>
        <v>211100.26000000004</v>
      </c>
      <c r="O33" s="28">
        <f>($Q33-$N33)/1</f>
        <v>-81100.260000000038</v>
      </c>
      <c r="P33" s="31">
        <f>SUM(C33:O33)-N33</f>
        <v>129999.99999999997</v>
      </c>
      <c r="Q33" s="40">
        <v>130000</v>
      </c>
      <c r="R33" s="42">
        <f t="shared" si="5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v>424767.23</v>
      </c>
      <c r="D34" s="18">
        <v>3103537.6500000004</v>
      </c>
      <c r="E34" s="18">
        <v>60252.72</v>
      </c>
      <c r="F34" s="18">
        <v>263656.40999999997</v>
      </c>
      <c r="G34" s="18">
        <v>636798.82999999996</v>
      </c>
      <c r="H34" s="18">
        <v>6377955.7599999998</v>
      </c>
      <c r="I34" s="18">
        <v>2689346.63</v>
      </c>
      <c r="J34" s="18">
        <v>1297453.2</v>
      </c>
      <c r="K34" s="18">
        <v>27596.720000000001</v>
      </c>
      <c r="L34" s="18">
        <v>4251285.8099999996</v>
      </c>
      <c r="M34" s="18">
        <v>15279336.310000001</v>
      </c>
      <c r="N34" s="31">
        <f>SUM(N18:N33)</f>
        <v>34411977.269999988</v>
      </c>
      <c r="O34" s="18">
        <f>SUM(O18:O33)</f>
        <v>-2496569.2699999986</v>
      </c>
      <c r="P34" s="31">
        <f>SUM(C34:O34)-N34</f>
        <v>31915418.000000007</v>
      </c>
      <c r="Q34" s="40"/>
      <c r="R34" s="42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:M35" si="8">F34+F17+F5</f>
        <v>5240232.1500000004</v>
      </c>
      <c r="G35" s="19">
        <f t="shared" si="8"/>
        <v>6310107.8300000001</v>
      </c>
      <c r="H35" s="19">
        <f t="shared" si="8"/>
        <v>12523191.02</v>
      </c>
      <c r="I35" s="19">
        <f t="shared" si="8"/>
        <v>7325898.46</v>
      </c>
      <c r="J35" s="19">
        <f t="shared" si="8"/>
        <v>6449125.2000000002</v>
      </c>
      <c r="K35" s="19">
        <f t="shared" si="8"/>
        <v>13604559.430000002</v>
      </c>
      <c r="L35" s="19">
        <f t="shared" ref="L35" si="9">L34+L17+L5</f>
        <v>8615502.1799999997</v>
      </c>
      <c r="M35" s="19">
        <f t="shared" si="8"/>
        <v>20192907.460000001</v>
      </c>
      <c r="N35" s="31">
        <f>SUM(C35:M35)</f>
        <v>110951665.53</v>
      </c>
      <c r="O35" s="19">
        <f>O34+O17+O5</f>
        <v>12498761.470000003</v>
      </c>
      <c r="P35" s="32">
        <f>P34+P17+P5</f>
        <v>123450427</v>
      </c>
      <c r="Q35" s="41"/>
      <c r="R35" s="42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30"/>
      <c r="O36" s="17"/>
      <c r="P36" s="30"/>
      <c r="R36" s="42">
        <f t="shared" si="5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4238406.0999999996</v>
      </c>
      <c r="H37" s="18">
        <v>4562212.7</v>
      </c>
      <c r="I37" s="18">
        <v>5105334.13</v>
      </c>
      <c r="J37" s="18">
        <v>5441568.9900000002</v>
      </c>
      <c r="K37" s="18">
        <v>4413859.9800000004</v>
      </c>
      <c r="L37" s="18">
        <v>5145730.4800000004</v>
      </c>
      <c r="M37" s="18">
        <v>4641470.8899999997</v>
      </c>
      <c r="N37" s="31">
        <f t="shared" ref="N37:N45" si="10">SUM(C37:M37)</f>
        <v>41931491.810000002</v>
      </c>
      <c r="O37" s="18">
        <f t="shared" ref="O37:O42" si="11">($Q37-$N37)/2*2</f>
        <v>7339861.1899999976</v>
      </c>
      <c r="P37" s="31">
        <f t="shared" ref="P37:P42" si="12">SUM(C37:O37)-N37</f>
        <v>49271353</v>
      </c>
      <c r="Q37" s="40">
        <v>49271353</v>
      </c>
      <c r="R37" s="42">
        <f t="shared" si="5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18">
        <v>1963188.44</v>
      </c>
      <c r="I38" s="18">
        <v>2029692.74</v>
      </c>
      <c r="J38" s="18">
        <v>1856798.83</v>
      </c>
      <c r="K38" s="18">
        <v>1963217.73</v>
      </c>
      <c r="L38" s="18">
        <v>2248399.64</v>
      </c>
      <c r="M38" s="18">
        <v>1911151.21</v>
      </c>
      <c r="N38" s="31">
        <f>SUM(C38:M38)</f>
        <v>19825393.32</v>
      </c>
      <c r="O38" s="18">
        <f t="shared" si="11"/>
        <v>4648414.68</v>
      </c>
      <c r="P38" s="31">
        <f t="shared" si="12"/>
        <v>24473808</v>
      </c>
      <c r="Q38" s="40">
        <v>24473808</v>
      </c>
      <c r="R38" s="42">
        <f t="shared" si="5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2594100.08</v>
      </c>
      <c r="H39" s="18">
        <v>3229447.09</v>
      </c>
      <c r="I39" s="18">
        <v>2740787.63</v>
      </c>
      <c r="J39" s="18">
        <v>2971056.2</v>
      </c>
      <c r="K39" s="18">
        <v>2769508.38</v>
      </c>
      <c r="L39" s="18">
        <v>3023279.89</v>
      </c>
      <c r="M39" s="18">
        <v>2791696.61</v>
      </c>
      <c r="N39" s="31">
        <f t="shared" si="10"/>
        <v>25020617.79999999</v>
      </c>
      <c r="O39" s="18">
        <f t="shared" si="11"/>
        <v>7184906.2000000104</v>
      </c>
      <c r="P39" s="31">
        <f t="shared" si="12"/>
        <v>32205524</v>
      </c>
      <c r="Q39" s="40">
        <v>32205524</v>
      </c>
      <c r="R39" s="42">
        <f t="shared" si="5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18">
        <v>22594.92</v>
      </c>
      <c r="I40" s="18">
        <v>54903.02</v>
      </c>
      <c r="J40" s="18">
        <v>61927.78</v>
      </c>
      <c r="K40" s="18">
        <v>60310.879999999997</v>
      </c>
      <c r="L40" s="18">
        <v>27941.93</v>
      </c>
      <c r="M40" s="18">
        <v>38932.370000000003</v>
      </c>
      <c r="N40" s="31">
        <f t="shared" si="10"/>
        <v>406347.36</v>
      </c>
      <c r="O40" s="18">
        <f t="shared" si="11"/>
        <v>33081.640000000014</v>
      </c>
      <c r="P40" s="31">
        <f t="shared" si="12"/>
        <v>439429</v>
      </c>
      <c r="Q40" s="40">
        <v>439429</v>
      </c>
      <c r="R40" s="42">
        <f t="shared" si="5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1152480.68</v>
      </c>
      <c r="H41" s="18">
        <v>864429.92</v>
      </c>
      <c r="I41" s="18">
        <v>1146246.82</v>
      </c>
      <c r="J41" s="18">
        <v>1010090.34</v>
      </c>
      <c r="K41" s="18">
        <v>1160830.56</v>
      </c>
      <c r="L41" s="18">
        <v>788892.94</v>
      </c>
      <c r="M41" s="18">
        <v>1175055.72</v>
      </c>
      <c r="N41" s="31">
        <f t="shared" si="10"/>
        <v>9977477.4600000009</v>
      </c>
      <c r="O41" s="18">
        <f t="shared" si="11"/>
        <v>2687907.5399999991</v>
      </c>
      <c r="P41" s="31">
        <f t="shared" si="12"/>
        <v>12665385</v>
      </c>
      <c r="Q41" s="40">
        <v>12665385</v>
      </c>
      <c r="R41" s="42">
        <f t="shared" si="5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18">
        <v>1505.18</v>
      </c>
      <c r="I42" s="18">
        <v>16450.96</v>
      </c>
      <c r="J42" s="18">
        <v>32724.59</v>
      </c>
      <c r="K42" s="18">
        <v>13512</v>
      </c>
      <c r="L42" s="18">
        <v>115708.5</v>
      </c>
      <c r="M42" s="18">
        <v>12860.33</v>
      </c>
      <c r="N42" s="31">
        <f t="shared" si="10"/>
        <v>180821.72</v>
      </c>
      <c r="O42" s="18">
        <f t="shared" si="11"/>
        <v>-139131.72</v>
      </c>
      <c r="P42" s="31">
        <f t="shared" si="12"/>
        <v>41690</v>
      </c>
      <c r="Q42" s="40">
        <v>41690</v>
      </c>
      <c r="R42" s="42">
        <f t="shared" si="5"/>
        <v>0</v>
      </c>
    </row>
    <row r="43" spans="1:18" s="1" customFormat="1" ht="19.7" customHeight="1" x14ac:dyDescent="0.2">
      <c r="A43" s="49" t="s">
        <v>126</v>
      </c>
      <c r="B43" s="49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31">
        <f t="shared" si="10"/>
        <v>1750000</v>
      </c>
      <c r="O43" s="18">
        <v>0</v>
      </c>
      <c r="P43" s="31"/>
      <c r="Q43" s="40"/>
      <c r="R43" s="42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18">
        <v>347578.42</v>
      </c>
      <c r="I44" s="18">
        <v>-345157.14</v>
      </c>
      <c r="J44" s="18">
        <v>-317000.7</v>
      </c>
      <c r="K44" s="18">
        <v>0</v>
      </c>
      <c r="L44" s="18">
        <v>0</v>
      </c>
      <c r="M44" s="18">
        <v>284405.87</v>
      </c>
      <c r="N44" s="31">
        <f t="shared" si="10"/>
        <v>284405.87000000005</v>
      </c>
      <c r="O44" s="18">
        <v>0</v>
      </c>
      <c r="P44" s="31">
        <f>SUM(C44:O44)-N44</f>
        <v>284405.87000000005</v>
      </c>
      <c r="Q44" s="40">
        <v>0</v>
      </c>
      <c r="R44" s="42">
        <f>P44-Q44</f>
        <v>284405.87000000005</v>
      </c>
    </row>
    <row r="45" spans="1:18" s="1" customFormat="1" ht="19.7" customHeight="1" thickBot="1" x14ac:dyDescent="0.25">
      <c r="A45" s="8" t="s">
        <v>40</v>
      </c>
      <c r="B45" s="11"/>
      <c r="C45" s="19">
        <f t="shared" ref="C45:M45" si="13">SUM(C37:C44)</f>
        <v>1369828.38</v>
      </c>
      <c r="D45" s="19">
        <f t="shared" si="13"/>
        <v>6080445.1800000006</v>
      </c>
      <c r="E45" s="19">
        <f t="shared" si="13"/>
        <v>5127705.7400000021</v>
      </c>
      <c r="F45" s="19">
        <f t="shared" si="13"/>
        <v>9974039.2999999896</v>
      </c>
      <c r="G45" s="19">
        <f t="shared" si="13"/>
        <v>11441389.970000001</v>
      </c>
      <c r="H45" s="19">
        <f t="shared" si="13"/>
        <v>10990956.67</v>
      </c>
      <c r="I45" s="19">
        <f t="shared" si="13"/>
        <v>10748258.16</v>
      </c>
      <c r="J45" s="19">
        <f t="shared" si="13"/>
        <v>11057166.029999999</v>
      </c>
      <c r="K45" s="19">
        <f t="shared" si="13"/>
        <v>10381239.530000001</v>
      </c>
      <c r="L45" s="19">
        <f t="shared" ref="L45" si="14">SUM(L37:L44)</f>
        <v>11349953.380000001</v>
      </c>
      <c r="M45" s="19">
        <f t="shared" si="13"/>
        <v>10855572.999999998</v>
      </c>
      <c r="N45" s="31">
        <f t="shared" si="10"/>
        <v>99376555.339999989</v>
      </c>
      <c r="O45" s="19">
        <f>SUM(O37:O44)</f>
        <v>21755039.530000009</v>
      </c>
      <c r="P45" s="32">
        <f>SUM(P37:P44)</f>
        <v>119381594.87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30"/>
      <c r="O46" s="17"/>
      <c r="P46" s="30"/>
    </row>
    <row r="47" spans="1:18" s="1" customFormat="1" ht="19.7" customHeight="1" x14ac:dyDescent="0.2">
      <c r="A47" s="3" t="s">
        <v>41</v>
      </c>
      <c r="B47" s="5"/>
      <c r="C47" s="16">
        <f t="shared" ref="C47:O47" si="15">C35-C45</f>
        <v>3672284.8500000006</v>
      </c>
      <c r="D47" s="16">
        <f t="shared" si="15"/>
        <v>1640437.4699999997</v>
      </c>
      <c r="E47" s="16">
        <f t="shared" si="15"/>
        <v>12799440.179999996</v>
      </c>
      <c r="F47" s="16">
        <f t="shared" si="15"/>
        <v>-4733807.1499999892</v>
      </c>
      <c r="G47" s="16">
        <f t="shared" si="15"/>
        <v>-5131282.1400000006</v>
      </c>
      <c r="H47" s="16">
        <f t="shared" si="15"/>
        <v>1532234.3499999996</v>
      </c>
      <c r="I47" s="16">
        <f t="shared" si="15"/>
        <v>-3422359.7</v>
      </c>
      <c r="J47" s="16">
        <f t="shared" si="15"/>
        <v>-4608040.8299999991</v>
      </c>
      <c r="K47" s="16">
        <f t="shared" si="15"/>
        <v>3223319.9000000004</v>
      </c>
      <c r="L47" s="16">
        <f t="shared" ref="L47" si="16">L35-L45</f>
        <v>-2734451.2000000011</v>
      </c>
      <c r="M47" s="16">
        <f t="shared" si="15"/>
        <v>9337334.4600000028</v>
      </c>
      <c r="N47" s="33">
        <f t="shared" si="15"/>
        <v>11575110.190000013</v>
      </c>
      <c r="O47" s="16">
        <f t="shared" si="15"/>
        <v>-9256278.0600000061</v>
      </c>
      <c r="P47" s="26">
        <f>SUM(C47:O47)-N47</f>
        <v>2318832.1300000027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30"/>
      <c r="O48" s="17"/>
      <c r="P48" s="30"/>
    </row>
    <row r="49" spans="1:16" s="1" customFormat="1" ht="19.7" hidden="1" customHeight="1" x14ac:dyDescent="0.2">
      <c r="A49" s="68" t="s">
        <v>42</v>
      </c>
      <c r="B49" s="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30"/>
      <c r="O49" s="17"/>
      <c r="P49" s="30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31"/>
      <c r="O50" s="18">
        <v>0</v>
      </c>
      <c r="P50" s="30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18">
        <v>-1523150.5</v>
      </c>
      <c r="I51" s="18">
        <v>-323565.33</v>
      </c>
      <c r="J51" s="18">
        <v>671521.86</v>
      </c>
      <c r="K51" s="18">
        <v>462943.8</v>
      </c>
      <c r="L51" s="18">
        <v>-490672.43</v>
      </c>
      <c r="M51" s="18">
        <v>-2463582</v>
      </c>
      <c r="N51" s="31"/>
      <c r="O51" s="18">
        <v>0</v>
      </c>
      <c r="P51" s="30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18">
        <v>238941.87</v>
      </c>
      <c r="I52" s="18">
        <v>8862.58</v>
      </c>
      <c r="J52" s="18">
        <v>-138844.93</v>
      </c>
      <c r="K52" s="18">
        <v>76052.47</v>
      </c>
      <c r="L52" s="18">
        <v>33745.46</v>
      </c>
      <c r="M52" s="18">
        <v>-107051.69</v>
      </c>
      <c r="N52" s="31"/>
      <c r="O52" s="18">
        <v>0</v>
      </c>
      <c r="P52" s="30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31"/>
      <c r="O53" s="18">
        <v>0</v>
      </c>
      <c r="P53" s="30"/>
    </row>
    <row r="54" spans="1:16" s="1" customFormat="1" ht="19.7" hidden="1" customHeight="1" x14ac:dyDescent="0.2">
      <c r="A54" s="68" t="s">
        <v>51</v>
      </c>
      <c r="B54" s="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31"/>
      <c r="O54" s="17"/>
      <c r="P54" s="30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31"/>
      <c r="O55" s="18">
        <v>0</v>
      </c>
      <c r="P55" s="30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180442.13</v>
      </c>
      <c r="H56" s="18">
        <v>419586.19000000099</v>
      </c>
      <c r="I56" s="18">
        <v>-73969.31</v>
      </c>
      <c r="J56" s="18">
        <v>219568.78</v>
      </c>
      <c r="K56" s="18">
        <v>245451.72000000099</v>
      </c>
      <c r="L56" s="18">
        <v>140925.59</v>
      </c>
      <c r="M56" s="18">
        <v>115241.9</v>
      </c>
      <c r="N56" s="31"/>
      <c r="O56" s="18">
        <v>0</v>
      </c>
      <c r="P56" s="30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-94198.96</v>
      </c>
      <c r="H57" s="18">
        <v>1857392.91</v>
      </c>
      <c r="I57" s="18">
        <v>404461.11</v>
      </c>
      <c r="J57" s="18">
        <v>140927.97</v>
      </c>
      <c r="K57" s="18">
        <v>-282345.87</v>
      </c>
      <c r="L57" s="18">
        <v>690340.69</v>
      </c>
      <c r="M57" s="18">
        <v>672633.7</v>
      </c>
      <c r="N57" s="31"/>
      <c r="O57" s="18">
        <v>0</v>
      </c>
      <c r="P57" s="30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31"/>
      <c r="O58" s="18">
        <v>0</v>
      </c>
      <c r="P58" s="30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31"/>
      <c r="O59" s="18">
        <v>0</v>
      </c>
      <c r="P59" s="30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31"/>
      <c r="O60" s="18">
        <v>0</v>
      </c>
      <c r="P60" s="30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31"/>
      <c r="O61" s="18">
        <v>0</v>
      </c>
      <c r="P61" s="30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31"/>
      <c r="O62" s="18">
        <v>0</v>
      </c>
      <c r="P62" s="30"/>
    </row>
    <row r="63" spans="1:16" s="1" customFormat="1" ht="19.7" hidden="1" customHeight="1" thickBot="1" x14ac:dyDescent="0.25">
      <c r="A63" s="8" t="s">
        <v>66</v>
      </c>
      <c r="B63" s="11"/>
      <c r="C63" s="19">
        <f t="shared" ref="C63:M63" si="17">SUM(C50:C62)</f>
        <v>-10071021.609999999</v>
      </c>
      <c r="D63" s="19">
        <f t="shared" si="17"/>
        <v>-2775027.34</v>
      </c>
      <c r="E63" s="19">
        <f t="shared" si="17"/>
        <v>206991.87</v>
      </c>
      <c r="F63" s="19">
        <f t="shared" si="17"/>
        <v>1193721</v>
      </c>
      <c r="G63" s="19">
        <f t="shared" si="17"/>
        <v>279063.77</v>
      </c>
      <c r="H63" s="19">
        <f t="shared" si="17"/>
        <v>992770.47000000102</v>
      </c>
      <c r="I63" s="19">
        <f t="shared" si="17"/>
        <v>15789.049999999988</v>
      </c>
      <c r="J63" s="19">
        <f t="shared" si="17"/>
        <v>893173.67999999993</v>
      </c>
      <c r="K63" s="19">
        <f t="shared" si="17"/>
        <v>502102.12000000104</v>
      </c>
      <c r="L63" s="19">
        <f t="shared" ref="L63" si="18">SUM(L50:L62)</f>
        <v>374339.30999999994</v>
      </c>
      <c r="M63" s="19">
        <f t="shared" si="17"/>
        <v>-1782758.09</v>
      </c>
      <c r="N63" s="32"/>
      <c r="O63" s="19">
        <v>-1200000</v>
      </c>
      <c r="P63" s="38"/>
    </row>
    <row r="64" spans="1:16" s="1" customFormat="1" ht="18.2" hidden="1" customHeight="1" x14ac:dyDescent="0.2">
      <c r="A64" s="6"/>
      <c r="B64" s="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30"/>
      <c r="O64" s="17"/>
      <c r="P64" s="30"/>
    </row>
    <row r="65" spans="1:16" s="1" customFormat="1" ht="19.7" customHeight="1" thickBot="1" x14ac:dyDescent="0.25">
      <c r="A65" s="13" t="s">
        <v>67</v>
      </c>
      <c r="B65" s="14"/>
      <c r="C65" s="20">
        <f t="shared" ref="C65:G65" si="19">C3+C47+C63</f>
        <v>17276325.860000003</v>
      </c>
      <c r="D65" s="20">
        <f t="shared" si="19"/>
        <v>16141735.990000002</v>
      </c>
      <c r="E65" s="20">
        <f t="shared" si="19"/>
        <v>29148168.039999999</v>
      </c>
      <c r="F65" s="20">
        <f t="shared" si="19"/>
        <v>25608081.890000008</v>
      </c>
      <c r="G65" s="20">
        <f t="shared" si="19"/>
        <v>20755863.520000007</v>
      </c>
      <c r="H65" s="20">
        <f t="shared" ref="H65:M65" si="20">H3+H47+H63</f>
        <v>23280868.340000007</v>
      </c>
      <c r="I65" s="20">
        <f t="shared" si="20"/>
        <v>19874297.690000009</v>
      </c>
      <c r="J65" s="20">
        <f t="shared" si="20"/>
        <v>16159430.54000001</v>
      </c>
      <c r="K65" s="20">
        <f t="shared" si="20"/>
        <v>19884852.560000014</v>
      </c>
      <c r="L65" s="20">
        <f t="shared" si="20"/>
        <v>17524740.670000013</v>
      </c>
      <c r="M65" s="20">
        <f t="shared" si="20"/>
        <v>25079317.040000018</v>
      </c>
      <c r="N65" s="34"/>
      <c r="O65" s="20">
        <f>O3+O47+O63</f>
        <v>14623038.980000012</v>
      </c>
      <c r="P65" s="39"/>
    </row>
    <row r="66" spans="1:16" s="1" customFormat="1" ht="28.7" customHeight="1" x14ac:dyDescent="0.2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35"/>
      <c r="O66" s="21"/>
      <c r="P66" s="21"/>
    </row>
  </sheetData>
  <mergeCells count="1">
    <mergeCell ref="A1:B1"/>
  </mergeCells>
  <pageMargins left="0.7" right="0.7" top="0.75" bottom="0.75" header="0.3" footer="0.3"/>
  <pageSetup paperSize="9" scale="3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F7D3-155C-4257-93DF-DB3B056D6373}">
  <sheetPr>
    <pageSetUpPr fitToPage="1"/>
  </sheetPr>
  <dimension ref="A1:R63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35" sqref="E35"/>
    </sheetView>
  </sheetViews>
  <sheetFormatPr defaultRowHeight="12.75" x14ac:dyDescent="0.2"/>
  <cols>
    <col min="1" max="1" width="35.5703125" customWidth="1"/>
    <col min="2" max="2" width="20" customWidth="1"/>
    <col min="3" max="3" width="20" style="22" customWidth="1"/>
    <col min="4" max="4" width="20" style="36" customWidth="1"/>
    <col min="5" max="16" width="20" style="22" customWidth="1"/>
    <col min="17" max="17" width="22.85546875" hidden="1" customWidth="1"/>
    <col min="18" max="18" width="14.5703125" hidden="1" customWidth="1"/>
  </cols>
  <sheetData>
    <row r="1" spans="1:18" s="1" customFormat="1" ht="24" customHeight="1" x14ac:dyDescent="0.2">
      <c r="A1" s="69" t="s">
        <v>0</v>
      </c>
      <c r="B1" s="69"/>
      <c r="C1" s="27"/>
      <c r="D1" s="29"/>
      <c r="E1" s="27"/>
      <c r="F1" s="70" t="s">
        <v>1</v>
      </c>
      <c r="G1" s="70"/>
      <c r="H1" s="70"/>
      <c r="I1" s="15"/>
      <c r="J1" s="15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25" t="s">
        <v>16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26" t="s">
        <v>120</v>
      </c>
      <c r="E3" s="16">
        <f>C62</f>
        <v>17276325.860000003</v>
      </c>
      <c r="F3" s="16">
        <f t="shared" ref="F3:O3" si="0">E62</f>
        <v>16202223.919090912</v>
      </c>
      <c r="G3" s="16">
        <f t="shared" si="0"/>
        <v>15128121.978181822</v>
      </c>
      <c r="H3" s="16">
        <f t="shared" si="0"/>
        <v>14054020.037272733</v>
      </c>
      <c r="I3" s="16">
        <f t="shared" si="0"/>
        <v>12979918.096363643</v>
      </c>
      <c r="J3" s="16">
        <f t="shared" si="0"/>
        <v>11905816.155454554</v>
      </c>
      <c r="K3" s="16">
        <f t="shared" si="0"/>
        <v>10831714.214545464</v>
      </c>
      <c r="L3" s="16">
        <f t="shared" si="0"/>
        <v>9757612.2736363746</v>
      </c>
      <c r="M3" s="16">
        <f t="shared" si="0"/>
        <v>8683510.3327272851</v>
      </c>
      <c r="N3" s="16">
        <f t="shared" si="0"/>
        <v>7609408.3918181956</v>
      </c>
      <c r="O3" s="16">
        <f t="shared" si="0"/>
        <v>6535306.4509091061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30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20</v>
      </c>
      <c r="C5" s="18">
        <v>0</v>
      </c>
      <c r="D5" s="31">
        <f t="shared" ref="D5:D16" si="1">SUM(C5)</f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31">
        <f t="shared" si="1"/>
        <v>4437104</v>
      </c>
      <c r="E6" s="28">
        <f t="shared" ref="E6:O16" si="2">($Q6-$D6)/11</f>
        <v>7308253.9090909092</v>
      </c>
      <c r="F6" s="28">
        <f t="shared" si="2"/>
        <v>7308253.9090909092</v>
      </c>
      <c r="G6" s="28">
        <f t="shared" si="2"/>
        <v>7308253.9090909092</v>
      </c>
      <c r="H6" s="28">
        <f t="shared" si="2"/>
        <v>7308253.9090909092</v>
      </c>
      <c r="I6" s="28">
        <f t="shared" si="2"/>
        <v>7308253.9090909092</v>
      </c>
      <c r="J6" s="28">
        <f t="shared" si="2"/>
        <v>7308253.9090909092</v>
      </c>
      <c r="K6" s="28">
        <f t="shared" si="2"/>
        <v>7308253.9090909092</v>
      </c>
      <c r="L6" s="28">
        <f t="shared" si="2"/>
        <v>7308253.9090909092</v>
      </c>
      <c r="M6" s="28">
        <f t="shared" si="2"/>
        <v>7308253.9090909092</v>
      </c>
      <c r="N6" s="28">
        <f t="shared" si="2"/>
        <v>7308253.9090909092</v>
      </c>
      <c r="O6" s="28">
        <f t="shared" si="2"/>
        <v>7308253.9090909092</v>
      </c>
      <c r="P6" s="31">
        <f t="shared" ref="P6:P32" si="3">SUM(C6:O6)-D6</f>
        <v>84827896.999999985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31">
        <f t="shared" si="1"/>
        <v>143481</v>
      </c>
      <c r="E7" s="28">
        <f t="shared" si="2"/>
        <v>150002.81818181818</v>
      </c>
      <c r="F7" s="28">
        <f t="shared" si="2"/>
        <v>150002.81818181818</v>
      </c>
      <c r="G7" s="28">
        <f t="shared" si="2"/>
        <v>150002.81818181818</v>
      </c>
      <c r="H7" s="28">
        <f t="shared" si="2"/>
        <v>150002.81818181818</v>
      </c>
      <c r="I7" s="28">
        <f t="shared" si="2"/>
        <v>150002.81818181818</v>
      </c>
      <c r="J7" s="28">
        <f t="shared" si="2"/>
        <v>150002.81818181818</v>
      </c>
      <c r="K7" s="28">
        <f t="shared" si="2"/>
        <v>150002.81818181818</v>
      </c>
      <c r="L7" s="28">
        <f t="shared" si="2"/>
        <v>150002.81818181818</v>
      </c>
      <c r="M7" s="28">
        <f t="shared" si="2"/>
        <v>150002.81818181818</v>
      </c>
      <c r="N7" s="28">
        <f t="shared" si="2"/>
        <v>150002.81818181818</v>
      </c>
      <c r="O7" s="28">
        <f t="shared" si="2"/>
        <v>150002.81818181818</v>
      </c>
      <c r="P7" s="31">
        <f t="shared" si="3"/>
        <v>1793511.9999999995</v>
      </c>
      <c r="Q7" s="40">
        <v>1793512</v>
      </c>
      <c r="R7" s="42">
        <f t="shared" ref="R7:R41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31">
        <f t="shared" si="1"/>
        <v>0</v>
      </c>
      <c r="E8" s="28">
        <f t="shared" si="2"/>
        <v>0</v>
      </c>
      <c r="F8" s="28">
        <f t="shared" si="2"/>
        <v>0</v>
      </c>
      <c r="G8" s="28">
        <f t="shared" si="2"/>
        <v>0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0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0</v>
      </c>
      <c r="P8" s="31">
        <f t="shared" si="3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31">
        <f t="shared" si="1"/>
        <v>25614</v>
      </c>
      <c r="E9" s="28">
        <f t="shared" si="2"/>
        <v>25853.272727272728</v>
      </c>
      <c r="F9" s="28">
        <f t="shared" si="2"/>
        <v>25853.272727272728</v>
      </c>
      <c r="G9" s="28">
        <f t="shared" si="2"/>
        <v>25853.272727272728</v>
      </c>
      <c r="H9" s="28">
        <f t="shared" si="2"/>
        <v>25853.272727272728</v>
      </c>
      <c r="I9" s="28">
        <f t="shared" si="2"/>
        <v>25853.272727272728</v>
      </c>
      <c r="J9" s="28">
        <f t="shared" si="2"/>
        <v>25853.272727272728</v>
      </c>
      <c r="K9" s="28">
        <f t="shared" si="2"/>
        <v>25853.272727272728</v>
      </c>
      <c r="L9" s="28">
        <f t="shared" si="2"/>
        <v>25853.272727272728</v>
      </c>
      <c r="M9" s="28">
        <f t="shared" si="2"/>
        <v>25853.272727272728</v>
      </c>
      <c r="N9" s="28">
        <f t="shared" si="2"/>
        <v>25853.272727272728</v>
      </c>
      <c r="O9" s="28">
        <f t="shared" si="2"/>
        <v>25853.272727272728</v>
      </c>
      <c r="P9" s="31">
        <f t="shared" si="3"/>
        <v>310000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31">
        <f t="shared" si="1"/>
        <v>0</v>
      </c>
      <c r="E10" s="28">
        <f t="shared" si="2"/>
        <v>31818.18181818182</v>
      </c>
      <c r="F10" s="28">
        <f t="shared" si="2"/>
        <v>31818.18181818182</v>
      </c>
      <c r="G10" s="28">
        <f t="shared" si="2"/>
        <v>31818.18181818182</v>
      </c>
      <c r="H10" s="28">
        <f t="shared" si="2"/>
        <v>31818.18181818182</v>
      </c>
      <c r="I10" s="28">
        <f t="shared" si="2"/>
        <v>31818.18181818182</v>
      </c>
      <c r="J10" s="28">
        <f t="shared" si="2"/>
        <v>31818.18181818182</v>
      </c>
      <c r="K10" s="28">
        <f t="shared" si="2"/>
        <v>31818.18181818182</v>
      </c>
      <c r="L10" s="28">
        <f t="shared" si="2"/>
        <v>31818.18181818182</v>
      </c>
      <c r="M10" s="28">
        <f t="shared" si="2"/>
        <v>31818.18181818182</v>
      </c>
      <c r="N10" s="28">
        <f t="shared" si="2"/>
        <v>31818.18181818182</v>
      </c>
      <c r="O10" s="28">
        <f t="shared" si="2"/>
        <v>31818.18181818182</v>
      </c>
      <c r="P10" s="31">
        <f t="shared" si="3"/>
        <v>350000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31">
        <f t="shared" si="1"/>
        <v>11147</v>
      </c>
      <c r="E11" s="28">
        <f t="shared" si="2"/>
        <v>12623</v>
      </c>
      <c r="F11" s="28">
        <f t="shared" si="2"/>
        <v>12623</v>
      </c>
      <c r="G11" s="28">
        <f t="shared" si="2"/>
        <v>12623</v>
      </c>
      <c r="H11" s="28">
        <f t="shared" si="2"/>
        <v>12623</v>
      </c>
      <c r="I11" s="28">
        <f t="shared" si="2"/>
        <v>12623</v>
      </c>
      <c r="J11" s="28">
        <f t="shared" si="2"/>
        <v>12623</v>
      </c>
      <c r="K11" s="28">
        <f t="shared" si="2"/>
        <v>12623</v>
      </c>
      <c r="L11" s="28">
        <f t="shared" si="2"/>
        <v>12623</v>
      </c>
      <c r="M11" s="28">
        <f t="shared" si="2"/>
        <v>12623</v>
      </c>
      <c r="N11" s="28">
        <f t="shared" si="2"/>
        <v>12623</v>
      </c>
      <c r="O11" s="28">
        <f t="shared" si="2"/>
        <v>12623</v>
      </c>
      <c r="P11" s="31">
        <f t="shared" si="3"/>
        <v>150000</v>
      </c>
      <c r="Q11" s="40">
        <v>150000</v>
      </c>
      <c r="R11" s="42">
        <f t="shared" si="4"/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31">
        <f t="shared" si="1"/>
        <v>0</v>
      </c>
      <c r="E12" s="28">
        <f t="shared" si="2"/>
        <v>2363.6363636363635</v>
      </c>
      <c r="F12" s="28">
        <f t="shared" si="2"/>
        <v>2363.6363636363635</v>
      </c>
      <c r="G12" s="28">
        <f t="shared" si="2"/>
        <v>2363.6363636363635</v>
      </c>
      <c r="H12" s="28">
        <f t="shared" si="2"/>
        <v>2363.6363636363635</v>
      </c>
      <c r="I12" s="28">
        <f t="shared" si="2"/>
        <v>2363.6363636363635</v>
      </c>
      <c r="J12" s="28">
        <f t="shared" si="2"/>
        <v>2363.6363636363635</v>
      </c>
      <c r="K12" s="28">
        <f t="shared" si="2"/>
        <v>2363.6363636363635</v>
      </c>
      <c r="L12" s="28">
        <f t="shared" si="2"/>
        <v>2363.6363636363635</v>
      </c>
      <c r="M12" s="28">
        <f t="shared" si="2"/>
        <v>2363.6363636363635</v>
      </c>
      <c r="N12" s="28">
        <f t="shared" si="2"/>
        <v>2363.6363636363635</v>
      </c>
      <c r="O12" s="28">
        <f t="shared" si="2"/>
        <v>2363.6363636363635</v>
      </c>
      <c r="P12" s="31">
        <f t="shared" si="3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31">
        <f t="shared" si="1"/>
        <v>0</v>
      </c>
      <c r="E13" s="28">
        <f t="shared" si="2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  <c r="O13" s="28">
        <f t="shared" si="2"/>
        <v>0</v>
      </c>
      <c r="P13" s="31">
        <f t="shared" si="3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31">
        <f t="shared" si="1"/>
        <v>0</v>
      </c>
      <c r="E14" s="28">
        <f t="shared" si="2"/>
        <v>227272.72727272726</v>
      </c>
      <c r="F14" s="28">
        <f t="shared" si="2"/>
        <v>227272.72727272726</v>
      </c>
      <c r="G14" s="28">
        <f t="shared" si="2"/>
        <v>227272.72727272726</v>
      </c>
      <c r="H14" s="28">
        <f t="shared" si="2"/>
        <v>227272.72727272726</v>
      </c>
      <c r="I14" s="28">
        <f t="shared" si="2"/>
        <v>227272.72727272726</v>
      </c>
      <c r="J14" s="28">
        <f t="shared" si="2"/>
        <v>227272.72727272726</v>
      </c>
      <c r="K14" s="28">
        <f t="shared" si="2"/>
        <v>227272.72727272726</v>
      </c>
      <c r="L14" s="28">
        <f t="shared" si="2"/>
        <v>227272.72727272726</v>
      </c>
      <c r="M14" s="28">
        <f t="shared" si="2"/>
        <v>227272.72727272726</v>
      </c>
      <c r="N14" s="28">
        <f t="shared" si="2"/>
        <v>227272.72727272726</v>
      </c>
      <c r="O14" s="28">
        <f t="shared" si="2"/>
        <v>227272.72727272726</v>
      </c>
      <c r="P14" s="31">
        <f t="shared" si="3"/>
        <v>2499999.9999999995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31">
        <f t="shared" si="1"/>
        <v>0</v>
      </c>
      <c r="E15" s="28">
        <f t="shared" si="2"/>
        <v>0</v>
      </c>
      <c r="F15" s="28">
        <f t="shared" si="2"/>
        <v>0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8">
        <f t="shared" si="2"/>
        <v>0</v>
      </c>
      <c r="O15" s="28">
        <f t="shared" si="2"/>
        <v>0</v>
      </c>
      <c r="P15" s="31">
        <f t="shared" si="3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31">
        <f t="shared" si="1"/>
        <v>0</v>
      </c>
      <c r="E16" s="28">
        <f t="shared" si="2"/>
        <v>40909.090909090912</v>
      </c>
      <c r="F16" s="28">
        <f t="shared" si="2"/>
        <v>40909.090909090912</v>
      </c>
      <c r="G16" s="28">
        <f t="shared" si="2"/>
        <v>40909.090909090912</v>
      </c>
      <c r="H16" s="28">
        <f t="shared" si="2"/>
        <v>40909.090909090912</v>
      </c>
      <c r="I16" s="28">
        <f t="shared" si="2"/>
        <v>40909.090909090912</v>
      </c>
      <c r="J16" s="28">
        <f t="shared" si="2"/>
        <v>40909.090909090912</v>
      </c>
      <c r="K16" s="28">
        <f t="shared" si="2"/>
        <v>40909.090909090912</v>
      </c>
      <c r="L16" s="28">
        <f t="shared" si="2"/>
        <v>40909.090909090912</v>
      </c>
      <c r="M16" s="28">
        <f t="shared" si="2"/>
        <v>40909.090909090912</v>
      </c>
      <c r="N16" s="28">
        <f t="shared" si="2"/>
        <v>40909.090909090912</v>
      </c>
      <c r="O16" s="28">
        <f t="shared" si="2"/>
        <v>40909.090909090912</v>
      </c>
      <c r="P16" s="31">
        <f t="shared" si="3"/>
        <v>450000.00000000012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 t="shared" ref="C17:O17" si="5">SUM(C6:C16)</f>
        <v>4617346</v>
      </c>
      <c r="D17" s="31">
        <f t="shared" si="5"/>
        <v>4617346</v>
      </c>
      <c r="E17" s="18">
        <f t="shared" si="5"/>
        <v>7799096.6363636367</v>
      </c>
      <c r="F17" s="18">
        <f t="shared" si="5"/>
        <v>7799096.6363636367</v>
      </c>
      <c r="G17" s="18">
        <f t="shared" si="5"/>
        <v>7799096.6363636367</v>
      </c>
      <c r="H17" s="18">
        <f t="shared" si="5"/>
        <v>7799096.6363636367</v>
      </c>
      <c r="I17" s="18">
        <f t="shared" si="5"/>
        <v>7799096.6363636367</v>
      </c>
      <c r="J17" s="18">
        <f t="shared" si="5"/>
        <v>7799096.6363636367</v>
      </c>
      <c r="K17" s="18">
        <f t="shared" si="5"/>
        <v>7799096.6363636367</v>
      </c>
      <c r="L17" s="18">
        <f t="shared" si="5"/>
        <v>7799096.6363636367</v>
      </c>
      <c r="M17" s="18">
        <f t="shared" si="5"/>
        <v>7799096.6363636367</v>
      </c>
      <c r="N17" s="18">
        <f t="shared" si="5"/>
        <v>7799096.6363636367</v>
      </c>
      <c r="O17" s="18">
        <f t="shared" si="5"/>
        <v>7799096.6363636367</v>
      </c>
      <c r="P17" s="31">
        <f t="shared" si="3"/>
        <v>90407409.00000003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31">
        <f t="shared" ref="D18:D31" si="6">SUM(C18)</f>
        <v>0</v>
      </c>
      <c r="E18" s="28">
        <f t="shared" ref="E18:O31" si="7">($Q18-$D18)/11</f>
        <v>1272727.2727272727</v>
      </c>
      <c r="F18" s="28">
        <f t="shared" si="7"/>
        <v>1272727.2727272727</v>
      </c>
      <c r="G18" s="28">
        <f t="shared" si="7"/>
        <v>1272727.2727272727</v>
      </c>
      <c r="H18" s="28">
        <f t="shared" si="7"/>
        <v>1272727.2727272727</v>
      </c>
      <c r="I18" s="28">
        <f t="shared" si="7"/>
        <v>1272727.2727272727</v>
      </c>
      <c r="J18" s="28">
        <f t="shared" si="7"/>
        <v>1272727.2727272727</v>
      </c>
      <c r="K18" s="28">
        <f t="shared" si="7"/>
        <v>1272727.2727272727</v>
      </c>
      <c r="L18" s="28">
        <f t="shared" si="7"/>
        <v>1272727.2727272727</v>
      </c>
      <c r="M18" s="28">
        <f t="shared" si="7"/>
        <v>1272727.2727272727</v>
      </c>
      <c r="N18" s="28">
        <f t="shared" si="7"/>
        <v>1272727.2727272727</v>
      </c>
      <c r="O18" s="28">
        <f t="shared" si="7"/>
        <v>1272727.2727272727</v>
      </c>
      <c r="P18" s="31">
        <f t="shared" si="3"/>
        <v>14000000.000000002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31">
        <f t="shared" si="6"/>
        <v>31374.28</v>
      </c>
      <c r="E19" s="28">
        <f t="shared" si="7"/>
        <v>22602.338181818181</v>
      </c>
      <c r="F19" s="28">
        <f t="shared" si="7"/>
        <v>22602.338181818181</v>
      </c>
      <c r="G19" s="28">
        <f t="shared" si="7"/>
        <v>22602.338181818181</v>
      </c>
      <c r="H19" s="28">
        <f t="shared" si="7"/>
        <v>22602.338181818181</v>
      </c>
      <c r="I19" s="28">
        <f t="shared" si="7"/>
        <v>22602.338181818181</v>
      </c>
      <c r="J19" s="28">
        <f t="shared" si="7"/>
        <v>22602.338181818181</v>
      </c>
      <c r="K19" s="28">
        <f t="shared" si="7"/>
        <v>22602.338181818181</v>
      </c>
      <c r="L19" s="28">
        <f t="shared" si="7"/>
        <v>22602.338181818181</v>
      </c>
      <c r="M19" s="28">
        <f t="shared" si="7"/>
        <v>22602.338181818181</v>
      </c>
      <c r="N19" s="28">
        <f t="shared" si="7"/>
        <v>22602.338181818181</v>
      </c>
      <c r="O19" s="28">
        <f t="shared" si="7"/>
        <v>22602.338181818181</v>
      </c>
      <c r="P19" s="31">
        <f t="shared" si="3"/>
        <v>280000.00000000012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31">
        <f t="shared" si="6"/>
        <v>0</v>
      </c>
      <c r="E20" s="28">
        <f t="shared" si="7"/>
        <v>20000</v>
      </c>
      <c r="F20" s="28">
        <f t="shared" si="7"/>
        <v>20000</v>
      </c>
      <c r="G20" s="28">
        <f t="shared" si="7"/>
        <v>20000</v>
      </c>
      <c r="H20" s="28">
        <f t="shared" si="7"/>
        <v>20000</v>
      </c>
      <c r="I20" s="28">
        <f t="shared" si="7"/>
        <v>20000</v>
      </c>
      <c r="J20" s="28">
        <f t="shared" si="7"/>
        <v>20000</v>
      </c>
      <c r="K20" s="28">
        <f t="shared" si="7"/>
        <v>20000</v>
      </c>
      <c r="L20" s="28">
        <f t="shared" si="7"/>
        <v>20000</v>
      </c>
      <c r="M20" s="28">
        <f t="shared" si="7"/>
        <v>20000</v>
      </c>
      <c r="N20" s="28">
        <f t="shared" si="7"/>
        <v>20000</v>
      </c>
      <c r="O20" s="28">
        <f t="shared" si="7"/>
        <v>20000</v>
      </c>
      <c r="P20" s="31">
        <f t="shared" si="3"/>
        <v>220000</v>
      </c>
      <c r="Q20" s="40">
        <v>220000</v>
      </c>
      <c r="R20" s="42">
        <f t="shared" si="4"/>
        <v>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31">
        <f t="shared" si="6"/>
        <v>218047.3</v>
      </c>
      <c r="E21" s="28">
        <f t="shared" si="7"/>
        <v>-1640.6636363636353</v>
      </c>
      <c r="F21" s="28">
        <f t="shared" si="7"/>
        <v>-1640.6636363636353</v>
      </c>
      <c r="G21" s="28">
        <f t="shared" si="7"/>
        <v>-1640.6636363636353</v>
      </c>
      <c r="H21" s="28">
        <f t="shared" si="7"/>
        <v>-1640.6636363636353</v>
      </c>
      <c r="I21" s="28">
        <f t="shared" si="7"/>
        <v>-1640.6636363636353</v>
      </c>
      <c r="J21" s="28">
        <f t="shared" si="7"/>
        <v>-1640.6636363636353</v>
      </c>
      <c r="K21" s="28">
        <f t="shared" si="7"/>
        <v>-1640.6636363636353</v>
      </c>
      <c r="L21" s="28">
        <f t="shared" si="7"/>
        <v>-1640.6636363636353</v>
      </c>
      <c r="M21" s="28">
        <f t="shared" si="7"/>
        <v>-1640.6636363636353</v>
      </c>
      <c r="N21" s="28">
        <f t="shared" si="7"/>
        <v>-1640.6636363636353</v>
      </c>
      <c r="O21" s="28">
        <f t="shared" si="7"/>
        <v>-1640.6636363636353</v>
      </c>
      <c r="P21" s="31">
        <f t="shared" si="3"/>
        <v>200000</v>
      </c>
      <c r="Q21" s="40">
        <v>200000</v>
      </c>
      <c r="R21" s="42">
        <f t="shared" si="4"/>
        <v>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31">
        <f t="shared" si="6"/>
        <v>0</v>
      </c>
      <c r="E22" s="28">
        <f t="shared" si="7"/>
        <v>772727.27272727271</v>
      </c>
      <c r="F22" s="28">
        <f t="shared" si="7"/>
        <v>772727.27272727271</v>
      </c>
      <c r="G22" s="28">
        <f t="shared" si="7"/>
        <v>772727.27272727271</v>
      </c>
      <c r="H22" s="28">
        <f t="shared" si="7"/>
        <v>772727.27272727271</v>
      </c>
      <c r="I22" s="28">
        <f t="shared" si="7"/>
        <v>772727.27272727271</v>
      </c>
      <c r="J22" s="28">
        <f t="shared" si="7"/>
        <v>772727.27272727271</v>
      </c>
      <c r="K22" s="28">
        <f t="shared" si="7"/>
        <v>772727.27272727271</v>
      </c>
      <c r="L22" s="28">
        <f t="shared" si="7"/>
        <v>772727.27272727271</v>
      </c>
      <c r="M22" s="28">
        <f t="shared" si="7"/>
        <v>772727.27272727271</v>
      </c>
      <c r="N22" s="28">
        <f t="shared" si="7"/>
        <v>772727.27272727271</v>
      </c>
      <c r="O22" s="28">
        <f t="shared" si="7"/>
        <v>772727.27272727271</v>
      </c>
      <c r="P22" s="31">
        <f t="shared" si="3"/>
        <v>8499999.9999999981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31">
        <f t="shared" si="6"/>
        <v>0</v>
      </c>
      <c r="E23" s="28">
        <f t="shared" si="7"/>
        <v>170063.27272727274</v>
      </c>
      <c r="F23" s="28">
        <f t="shared" si="7"/>
        <v>170063.27272727274</v>
      </c>
      <c r="G23" s="28">
        <f t="shared" si="7"/>
        <v>170063.27272727274</v>
      </c>
      <c r="H23" s="28">
        <f t="shared" si="7"/>
        <v>170063.27272727274</v>
      </c>
      <c r="I23" s="28">
        <f t="shared" si="7"/>
        <v>170063.27272727274</v>
      </c>
      <c r="J23" s="28">
        <f t="shared" si="7"/>
        <v>170063.27272727274</v>
      </c>
      <c r="K23" s="28">
        <f t="shared" si="7"/>
        <v>170063.27272727274</v>
      </c>
      <c r="L23" s="28">
        <f t="shared" si="7"/>
        <v>170063.27272727274</v>
      </c>
      <c r="M23" s="28">
        <f t="shared" si="7"/>
        <v>170063.27272727274</v>
      </c>
      <c r="N23" s="28">
        <f t="shared" si="7"/>
        <v>170063.27272727274</v>
      </c>
      <c r="O23" s="28">
        <f t="shared" si="7"/>
        <v>170063.27272727274</v>
      </c>
      <c r="P23" s="31">
        <f t="shared" si="3"/>
        <v>1870696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23" t="s">
        <v>101</v>
      </c>
      <c r="B24" s="24" t="s">
        <v>102</v>
      </c>
      <c r="C24" s="28">
        <v>0</v>
      </c>
      <c r="D24" s="31">
        <f t="shared" si="6"/>
        <v>0</v>
      </c>
      <c r="E24" s="28">
        <f t="shared" si="7"/>
        <v>1818.1818181818185</v>
      </c>
      <c r="F24" s="28">
        <f t="shared" si="7"/>
        <v>1818.1818181818185</v>
      </c>
      <c r="G24" s="28">
        <f t="shared" si="7"/>
        <v>1818.1818181818185</v>
      </c>
      <c r="H24" s="28">
        <f t="shared" si="7"/>
        <v>1818.1818181818185</v>
      </c>
      <c r="I24" s="28">
        <f t="shared" si="7"/>
        <v>1818.1818181818185</v>
      </c>
      <c r="J24" s="28">
        <f t="shared" si="7"/>
        <v>1818.1818181818185</v>
      </c>
      <c r="K24" s="28">
        <f t="shared" si="7"/>
        <v>1818.1818181818185</v>
      </c>
      <c r="L24" s="28">
        <f t="shared" si="7"/>
        <v>1818.1818181818185</v>
      </c>
      <c r="M24" s="28">
        <f t="shared" si="7"/>
        <v>1818.1818181818185</v>
      </c>
      <c r="N24" s="28">
        <f t="shared" si="7"/>
        <v>1818.1818181818185</v>
      </c>
      <c r="O24" s="28">
        <f t="shared" si="7"/>
        <v>1818.1818181818185</v>
      </c>
      <c r="P24" s="31">
        <f t="shared" si="3"/>
        <v>20000.000000000004</v>
      </c>
      <c r="Q24" s="40">
        <v>20000.000000000004</v>
      </c>
      <c r="R24" s="42">
        <f t="shared" si="4"/>
        <v>0</v>
      </c>
    </row>
    <row r="25" spans="1:18" s="1" customFormat="1" ht="19.7" customHeight="1" x14ac:dyDescent="0.2">
      <c r="A25" s="23" t="s">
        <v>103</v>
      </c>
      <c r="B25" s="24" t="s">
        <v>104</v>
      </c>
      <c r="C25" s="28">
        <v>178637.03</v>
      </c>
      <c r="D25" s="31">
        <f t="shared" si="6"/>
        <v>178637.03</v>
      </c>
      <c r="E25" s="28">
        <f t="shared" si="7"/>
        <v>-7148.8209090909086</v>
      </c>
      <c r="F25" s="28">
        <f t="shared" si="7"/>
        <v>-7148.8209090909086</v>
      </c>
      <c r="G25" s="28">
        <f t="shared" si="7"/>
        <v>-7148.8209090909086</v>
      </c>
      <c r="H25" s="28">
        <f t="shared" si="7"/>
        <v>-7148.8209090909086</v>
      </c>
      <c r="I25" s="28">
        <f t="shared" si="7"/>
        <v>-7148.8209090909086</v>
      </c>
      <c r="J25" s="28">
        <f t="shared" si="7"/>
        <v>-7148.8209090909086</v>
      </c>
      <c r="K25" s="28">
        <f t="shared" si="7"/>
        <v>-7148.8209090909086</v>
      </c>
      <c r="L25" s="28">
        <f t="shared" si="7"/>
        <v>-7148.8209090909086</v>
      </c>
      <c r="M25" s="28">
        <f t="shared" si="7"/>
        <v>-7148.8209090909086</v>
      </c>
      <c r="N25" s="28">
        <f t="shared" si="7"/>
        <v>-7148.8209090909086</v>
      </c>
      <c r="O25" s="28">
        <f t="shared" si="7"/>
        <v>-7148.8209090909086</v>
      </c>
      <c r="P25" s="31">
        <f t="shared" si="3"/>
        <v>99999.999999999854</v>
      </c>
      <c r="Q25" s="40">
        <v>100000</v>
      </c>
      <c r="R25" s="42">
        <f t="shared" si="4"/>
        <v>-1.4551915228366852E-10</v>
      </c>
    </row>
    <row r="26" spans="1:18" s="1" customFormat="1" ht="19.7" customHeight="1" x14ac:dyDescent="0.2">
      <c r="A26" s="23" t="s">
        <v>116</v>
      </c>
      <c r="B26" s="24" t="s">
        <v>117</v>
      </c>
      <c r="C26" s="28">
        <v>0</v>
      </c>
      <c r="D26" s="31">
        <f t="shared" si="6"/>
        <v>0</v>
      </c>
      <c r="E26" s="28">
        <f t="shared" si="7"/>
        <v>11363.636363636364</v>
      </c>
      <c r="F26" s="28">
        <f t="shared" si="7"/>
        <v>11363.636363636364</v>
      </c>
      <c r="G26" s="28">
        <f t="shared" si="7"/>
        <v>11363.636363636364</v>
      </c>
      <c r="H26" s="28">
        <f t="shared" si="7"/>
        <v>11363.636363636364</v>
      </c>
      <c r="I26" s="28">
        <f t="shared" si="7"/>
        <v>11363.636363636364</v>
      </c>
      <c r="J26" s="28">
        <f t="shared" si="7"/>
        <v>11363.636363636364</v>
      </c>
      <c r="K26" s="28">
        <f t="shared" si="7"/>
        <v>11363.636363636364</v>
      </c>
      <c r="L26" s="28">
        <f t="shared" si="7"/>
        <v>11363.636363636364</v>
      </c>
      <c r="M26" s="28">
        <f t="shared" si="7"/>
        <v>11363.636363636364</v>
      </c>
      <c r="N26" s="28">
        <f t="shared" si="7"/>
        <v>11363.636363636364</v>
      </c>
      <c r="O26" s="28">
        <f t="shared" si="7"/>
        <v>11363.636363636364</v>
      </c>
      <c r="P26" s="31">
        <f t="shared" si="3"/>
        <v>125000.00000000003</v>
      </c>
      <c r="Q26" s="40">
        <v>125000</v>
      </c>
      <c r="R26" s="42">
        <f t="shared" si="4"/>
        <v>0</v>
      </c>
    </row>
    <row r="27" spans="1:18" s="1" customFormat="1" ht="19.7" customHeight="1" x14ac:dyDescent="0.2">
      <c r="A27" s="23" t="s">
        <v>105</v>
      </c>
      <c r="B27" s="24" t="s">
        <v>106</v>
      </c>
      <c r="C27" s="28">
        <v>-1560</v>
      </c>
      <c r="D27" s="31">
        <f t="shared" si="6"/>
        <v>-1560</v>
      </c>
      <c r="E27" s="28">
        <f t="shared" si="7"/>
        <v>181960</v>
      </c>
      <c r="F27" s="28">
        <f t="shared" si="7"/>
        <v>181960</v>
      </c>
      <c r="G27" s="28">
        <f t="shared" si="7"/>
        <v>181960</v>
      </c>
      <c r="H27" s="28">
        <f t="shared" si="7"/>
        <v>181960</v>
      </c>
      <c r="I27" s="28">
        <f t="shared" si="7"/>
        <v>181960</v>
      </c>
      <c r="J27" s="28">
        <f t="shared" si="7"/>
        <v>181960</v>
      </c>
      <c r="K27" s="28">
        <f t="shared" si="7"/>
        <v>181960</v>
      </c>
      <c r="L27" s="28">
        <f t="shared" si="7"/>
        <v>181960</v>
      </c>
      <c r="M27" s="28">
        <f t="shared" si="7"/>
        <v>181960</v>
      </c>
      <c r="N27" s="28">
        <f t="shared" si="7"/>
        <v>181960</v>
      </c>
      <c r="O27" s="28">
        <f t="shared" si="7"/>
        <v>181960</v>
      </c>
      <c r="P27" s="31">
        <f t="shared" si="3"/>
        <v>2000000</v>
      </c>
      <c r="Q27" s="40">
        <v>2000000</v>
      </c>
      <c r="R27" s="42">
        <f t="shared" si="4"/>
        <v>0</v>
      </c>
    </row>
    <row r="28" spans="1:18" s="1" customFormat="1" ht="19.7" customHeight="1" x14ac:dyDescent="0.2">
      <c r="A28" s="23" t="s">
        <v>107</v>
      </c>
      <c r="B28" s="24" t="s">
        <v>108</v>
      </c>
      <c r="C28" s="28">
        <v>0</v>
      </c>
      <c r="D28" s="31">
        <f t="shared" si="6"/>
        <v>0</v>
      </c>
      <c r="E28" s="28">
        <f t="shared" si="7"/>
        <v>909.09090909090912</v>
      </c>
      <c r="F28" s="28">
        <f t="shared" si="7"/>
        <v>909.09090909090912</v>
      </c>
      <c r="G28" s="28">
        <f t="shared" si="7"/>
        <v>909.09090909090912</v>
      </c>
      <c r="H28" s="28">
        <f t="shared" si="7"/>
        <v>909.09090909090912</v>
      </c>
      <c r="I28" s="28">
        <f t="shared" si="7"/>
        <v>909.09090909090912</v>
      </c>
      <c r="J28" s="28">
        <f t="shared" si="7"/>
        <v>909.09090909090912</v>
      </c>
      <c r="K28" s="28">
        <f t="shared" si="7"/>
        <v>909.09090909090912</v>
      </c>
      <c r="L28" s="28">
        <f t="shared" si="7"/>
        <v>909.09090909090912</v>
      </c>
      <c r="M28" s="28">
        <f t="shared" si="7"/>
        <v>909.09090909090912</v>
      </c>
      <c r="N28" s="28">
        <f t="shared" si="7"/>
        <v>909.09090909090912</v>
      </c>
      <c r="O28" s="28">
        <f t="shared" si="7"/>
        <v>909.09090909090912</v>
      </c>
      <c r="P28" s="31">
        <f t="shared" si="3"/>
        <v>10000.000000000002</v>
      </c>
      <c r="Q28" s="40">
        <v>10000</v>
      </c>
      <c r="R28" s="42">
        <f t="shared" si="4"/>
        <v>0</v>
      </c>
    </row>
    <row r="29" spans="1:18" s="1" customFormat="1" ht="19.7" customHeight="1" x14ac:dyDescent="0.2">
      <c r="A29" s="23" t="s">
        <v>109</v>
      </c>
      <c r="B29" s="24" t="s">
        <v>110</v>
      </c>
      <c r="C29" s="28">
        <v>0</v>
      </c>
      <c r="D29" s="31">
        <f t="shared" si="6"/>
        <v>0</v>
      </c>
      <c r="E29" s="28">
        <f t="shared" si="7"/>
        <v>13636.363636363636</v>
      </c>
      <c r="F29" s="28">
        <f t="shared" si="7"/>
        <v>13636.363636363636</v>
      </c>
      <c r="G29" s="28">
        <f t="shared" si="7"/>
        <v>13636.363636363636</v>
      </c>
      <c r="H29" s="28">
        <f t="shared" si="7"/>
        <v>13636.363636363636</v>
      </c>
      <c r="I29" s="28">
        <f t="shared" si="7"/>
        <v>13636.363636363636</v>
      </c>
      <c r="J29" s="28">
        <f t="shared" si="7"/>
        <v>13636.363636363636</v>
      </c>
      <c r="K29" s="28">
        <f t="shared" si="7"/>
        <v>13636.363636363636</v>
      </c>
      <c r="L29" s="28">
        <f t="shared" si="7"/>
        <v>13636.363636363636</v>
      </c>
      <c r="M29" s="28">
        <f t="shared" si="7"/>
        <v>13636.363636363636</v>
      </c>
      <c r="N29" s="28">
        <f t="shared" si="7"/>
        <v>13636.363636363636</v>
      </c>
      <c r="O29" s="28">
        <f t="shared" si="7"/>
        <v>13636.363636363636</v>
      </c>
      <c r="P29" s="31">
        <f t="shared" si="3"/>
        <v>150000</v>
      </c>
      <c r="Q29" s="40">
        <v>150000</v>
      </c>
      <c r="R29" s="42">
        <f t="shared" si="4"/>
        <v>0</v>
      </c>
    </row>
    <row r="30" spans="1:18" s="1" customFormat="1" ht="19.7" customHeight="1" x14ac:dyDescent="0.2">
      <c r="A30" s="23" t="s">
        <v>111</v>
      </c>
      <c r="B30" s="24" t="s">
        <v>112</v>
      </c>
      <c r="C30" s="28">
        <v>-598</v>
      </c>
      <c r="D30" s="31">
        <f t="shared" si="6"/>
        <v>-598</v>
      </c>
      <c r="E30" s="28">
        <f t="shared" si="7"/>
        <v>354727.45454545453</v>
      </c>
      <c r="F30" s="28">
        <f t="shared" si="7"/>
        <v>354727.45454545453</v>
      </c>
      <c r="G30" s="28">
        <f t="shared" si="7"/>
        <v>354727.45454545453</v>
      </c>
      <c r="H30" s="28">
        <f t="shared" si="7"/>
        <v>354727.45454545453</v>
      </c>
      <c r="I30" s="28">
        <f t="shared" si="7"/>
        <v>354727.45454545453</v>
      </c>
      <c r="J30" s="28">
        <f t="shared" si="7"/>
        <v>354727.45454545453</v>
      </c>
      <c r="K30" s="28">
        <f t="shared" si="7"/>
        <v>354727.45454545453</v>
      </c>
      <c r="L30" s="28">
        <f t="shared" si="7"/>
        <v>354727.45454545453</v>
      </c>
      <c r="M30" s="28">
        <f t="shared" si="7"/>
        <v>354727.45454545453</v>
      </c>
      <c r="N30" s="28">
        <f t="shared" si="7"/>
        <v>354727.45454545453</v>
      </c>
      <c r="O30" s="28">
        <f t="shared" si="7"/>
        <v>354727.45454545453</v>
      </c>
      <c r="P30" s="31">
        <f t="shared" si="3"/>
        <v>3901404</v>
      </c>
      <c r="Q30" s="40">
        <v>3901404</v>
      </c>
      <c r="R30" s="42">
        <f t="shared" si="4"/>
        <v>0</v>
      </c>
    </row>
    <row r="31" spans="1:18" s="1" customFormat="1" ht="19.7" customHeight="1" x14ac:dyDescent="0.2">
      <c r="A31" s="23" t="s">
        <v>113</v>
      </c>
      <c r="B31" s="24" t="s">
        <v>114</v>
      </c>
      <c r="C31" s="28">
        <v>-1133.3800000000001</v>
      </c>
      <c r="D31" s="31">
        <f t="shared" si="6"/>
        <v>-1133.3800000000001</v>
      </c>
      <c r="E31" s="28">
        <f t="shared" si="7"/>
        <v>11921.216363636364</v>
      </c>
      <c r="F31" s="28">
        <f t="shared" si="7"/>
        <v>11921.216363636364</v>
      </c>
      <c r="G31" s="28">
        <f t="shared" si="7"/>
        <v>11921.216363636364</v>
      </c>
      <c r="H31" s="28">
        <f t="shared" si="7"/>
        <v>11921.216363636364</v>
      </c>
      <c r="I31" s="28">
        <f t="shared" si="7"/>
        <v>11921.216363636364</v>
      </c>
      <c r="J31" s="28">
        <f t="shared" si="7"/>
        <v>11921.216363636364</v>
      </c>
      <c r="K31" s="28">
        <f t="shared" si="7"/>
        <v>11921.216363636364</v>
      </c>
      <c r="L31" s="28">
        <f t="shared" si="7"/>
        <v>11921.216363636364</v>
      </c>
      <c r="M31" s="28">
        <f t="shared" si="7"/>
        <v>11921.216363636364</v>
      </c>
      <c r="N31" s="28">
        <f t="shared" si="7"/>
        <v>11921.216363636364</v>
      </c>
      <c r="O31" s="28">
        <f t="shared" si="7"/>
        <v>11921.216363636364</v>
      </c>
      <c r="P31" s="31">
        <f t="shared" si="3"/>
        <v>130000.00000000003</v>
      </c>
      <c r="Q31" s="40">
        <v>130000</v>
      </c>
      <c r="R31" s="42">
        <f t="shared" si="4"/>
        <v>0</v>
      </c>
    </row>
    <row r="32" spans="1:18" s="1" customFormat="1" ht="19.7" customHeight="1" x14ac:dyDescent="0.2">
      <c r="A32" s="7" t="s">
        <v>23</v>
      </c>
      <c r="B32" s="7" t="s">
        <v>24</v>
      </c>
      <c r="C32" s="18">
        <f t="shared" ref="C32:O32" si="8">SUM(C18:C31)</f>
        <v>424767.23</v>
      </c>
      <c r="D32" s="31">
        <f t="shared" si="8"/>
        <v>424767.23</v>
      </c>
      <c r="E32" s="18">
        <f t="shared" si="8"/>
        <v>2825666.6154545452</v>
      </c>
      <c r="F32" s="18">
        <f t="shared" si="8"/>
        <v>2825666.6154545452</v>
      </c>
      <c r="G32" s="18">
        <f t="shared" si="8"/>
        <v>2825666.6154545452</v>
      </c>
      <c r="H32" s="18">
        <f t="shared" si="8"/>
        <v>2825666.6154545452</v>
      </c>
      <c r="I32" s="18">
        <f t="shared" si="8"/>
        <v>2825666.6154545452</v>
      </c>
      <c r="J32" s="18">
        <f t="shared" si="8"/>
        <v>2825666.6154545452</v>
      </c>
      <c r="K32" s="18">
        <f t="shared" si="8"/>
        <v>2825666.6154545452</v>
      </c>
      <c r="L32" s="18">
        <f t="shared" si="8"/>
        <v>2825666.6154545452</v>
      </c>
      <c r="M32" s="18">
        <f t="shared" si="8"/>
        <v>2825666.6154545452</v>
      </c>
      <c r="N32" s="18">
        <f t="shared" si="8"/>
        <v>2825666.6154545452</v>
      </c>
      <c r="O32" s="18">
        <f t="shared" si="8"/>
        <v>2825666.6154545452</v>
      </c>
      <c r="P32" s="31">
        <f t="shared" si="3"/>
        <v>31507100.000000004</v>
      </c>
      <c r="Q32" s="40"/>
      <c r="R32" s="42"/>
    </row>
    <row r="33" spans="1:18" s="1" customFormat="1" ht="19.7" customHeight="1" thickBot="1" x14ac:dyDescent="0.25">
      <c r="A33" s="8" t="s">
        <v>25</v>
      </c>
      <c r="B33" s="9"/>
      <c r="C33" s="19">
        <f>C32+C17+C5</f>
        <v>5042113.2300000004</v>
      </c>
      <c r="D33" s="32">
        <f>SUM(C33)</f>
        <v>5042113.2300000004</v>
      </c>
      <c r="E33" s="19">
        <f t="shared" ref="E33:P33" si="9">E32+E17+E5</f>
        <v>10624763.251818182</v>
      </c>
      <c r="F33" s="19">
        <f t="shared" si="9"/>
        <v>10624763.251818182</v>
      </c>
      <c r="G33" s="19">
        <f t="shared" si="9"/>
        <v>10624763.251818182</v>
      </c>
      <c r="H33" s="19">
        <f t="shared" si="9"/>
        <v>10624763.251818182</v>
      </c>
      <c r="I33" s="19">
        <f t="shared" si="9"/>
        <v>10624763.251818182</v>
      </c>
      <c r="J33" s="19">
        <f t="shared" si="9"/>
        <v>10624763.251818182</v>
      </c>
      <c r="K33" s="19">
        <f t="shared" si="9"/>
        <v>10624763.251818182</v>
      </c>
      <c r="L33" s="19">
        <f t="shared" si="9"/>
        <v>10624763.251818182</v>
      </c>
      <c r="M33" s="19">
        <f t="shared" si="9"/>
        <v>10624763.251818182</v>
      </c>
      <c r="N33" s="19">
        <f t="shared" si="9"/>
        <v>10624763.251818182</v>
      </c>
      <c r="O33" s="19">
        <f t="shared" si="9"/>
        <v>10624763.251818182</v>
      </c>
      <c r="P33" s="32">
        <f t="shared" si="9"/>
        <v>121914509.00000003</v>
      </c>
      <c r="Q33" s="41"/>
      <c r="R33" s="42"/>
    </row>
    <row r="34" spans="1:18" s="1" customFormat="1" ht="12.2" customHeight="1" x14ac:dyDescent="0.2">
      <c r="A34" s="10"/>
      <c r="B34" s="6"/>
      <c r="C34" s="17"/>
      <c r="D34" s="30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30"/>
      <c r="R34" s="42">
        <f t="shared" si="4"/>
        <v>0</v>
      </c>
    </row>
    <row r="35" spans="1:18" s="1" customFormat="1" ht="19.7" customHeight="1" x14ac:dyDescent="0.2">
      <c r="A35" s="7" t="s">
        <v>26</v>
      </c>
      <c r="B35" s="7" t="s">
        <v>27</v>
      </c>
      <c r="C35" s="18">
        <v>190078.02</v>
      </c>
      <c r="D35" s="31">
        <f t="shared" ref="D35:D42" si="10">SUM(C35)</f>
        <v>190078.02</v>
      </c>
      <c r="E35" s="18">
        <f t="shared" ref="E35:O40" si="11">($Q35-$D35)/11</f>
        <v>4331471.543636363</v>
      </c>
      <c r="F35" s="18">
        <f t="shared" si="11"/>
        <v>4331471.543636363</v>
      </c>
      <c r="G35" s="18">
        <f t="shared" si="11"/>
        <v>4331471.543636363</v>
      </c>
      <c r="H35" s="18">
        <f t="shared" si="11"/>
        <v>4331471.543636363</v>
      </c>
      <c r="I35" s="18">
        <f t="shared" si="11"/>
        <v>4331471.543636363</v>
      </c>
      <c r="J35" s="18">
        <f t="shared" si="11"/>
        <v>4331471.543636363</v>
      </c>
      <c r="K35" s="18">
        <f t="shared" si="11"/>
        <v>4331471.543636363</v>
      </c>
      <c r="L35" s="18">
        <f t="shared" si="11"/>
        <v>4331471.543636363</v>
      </c>
      <c r="M35" s="18">
        <f t="shared" si="11"/>
        <v>4331471.543636363</v>
      </c>
      <c r="N35" s="18">
        <f t="shared" si="11"/>
        <v>4331471.543636363</v>
      </c>
      <c r="O35" s="18">
        <f t="shared" si="11"/>
        <v>4331471.543636363</v>
      </c>
      <c r="P35" s="31">
        <f t="shared" ref="P35:P41" si="12">SUM(C35:O35)-D35</f>
        <v>47836264.999999993</v>
      </c>
      <c r="Q35" s="40">
        <v>47836265</v>
      </c>
      <c r="R35" s="42">
        <f t="shared" si="4"/>
        <v>0</v>
      </c>
    </row>
    <row r="36" spans="1:18" s="1" customFormat="1" ht="19.7" customHeight="1" x14ac:dyDescent="0.2">
      <c r="A36" s="7" t="s">
        <v>28</v>
      </c>
      <c r="B36" s="7" t="s">
        <v>29</v>
      </c>
      <c r="C36" s="18">
        <v>471707.08</v>
      </c>
      <c r="D36" s="31">
        <f t="shared" si="10"/>
        <v>471707.08</v>
      </c>
      <c r="E36" s="18">
        <f t="shared" si="11"/>
        <v>2117206.5381818186</v>
      </c>
      <c r="F36" s="18">
        <f t="shared" si="11"/>
        <v>2117206.5381818186</v>
      </c>
      <c r="G36" s="18">
        <f t="shared" si="11"/>
        <v>2117206.5381818186</v>
      </c>
      <c r="H36" s="18">
        <f t="shared" si="11"/>
        <v>2117206.5381818186</v>
      </c>
      <c r="I36" s="18">
        <f t="shared" si="11"/>
        <v>2117206.5381818186</v>
      </c>
      <c r="J36" s="18">
        <f t="shared" si="11"/>
        <v>2117206.5381818186</v>
      </c>
      <c r="K36" s="18">
        <f t="shared" si="11"/>
        <v>2117206.5381818186</v>
      </c>
      <c r="L36" s="18">
        <f t="shared" si="11"/>
        <v>2117206.5381818186</v>
      </c>
      <c r="M36" s="18">
        <f t="shared" si="11"/>
        <v>2117206.5381818186</v>
      </c>
      <c r="N36" s="18">
        <f t="shared" si="11"/>
        <v>2117206.5381818186</v>
      </c>
      <c r="O36" s="18">
        <f t="shared" si="11"/>
        <v>2117206.5381818186</v>
      </c>
      <c r="P36" s="31">
        <f t="shared" si="12"/>
        <v>23760979.000000007</v>
      </c>
      <c r="Q36" s="40">
        <v>23760979</v>
      </c>
      <c r="R36" s="42">
        <f t="shared" si="4"/>
        <v>0</v>
      </c>
    </row>
    <row r="37" spans="1:18" s="1" customFormat="1" ht="19.7" customHeight="1" x14ac:dyDescent="0.2">
      <c r="A37" s="7" t="s">
        <v>30</v>
      </c>
      <c r="B37" s="7" t="s">
        <v>31</v>
      </c>
      <c r="C37" s="18">
        <v>309786.59000000003</v>
      </c>
      <c r="D37" s="31">
        <f t="shared" si="10"/>
        <v>309786.59000000003</v>
      </c>
      <c r="E37" s="18">
        <f t="shared" si="11"/>
        <v>2896541.0372727271</v>
      </c>
      <c r="F37" s="18">
        <f t="shared" si="11"/>
        <v>2896541.0372727271</v>
      </c>
      <c r="G37" s="18">
        <f t="shared" si="11"/>
        <v>2896541.0372727271</v>
      </c>
      <c r="H37" s="18">
        <f t="shared" si="11"/>
        <v>2896541.0372727271</v>
      </c>
      <c r="I37" s="18">
        <f t="shared" si="11"/>
        <v>2896541.0372727271</v>
      </c>
      <c r="J37" s="18">
        <f t="shared" si="11"/>
        <v>2896541.0372727271</v>
      </c>
      <c r="K37" s="18">
        <f t="shared" si="11"/>
        <v>2896541.0372727271</v>
      </c>
      <c r="L37" s="18">
        <f t="shared" si="11"/>
        <v>2896541.0372727271</v>
      </c>
      <c r="M37" s="18">
        <f t="shared" si="11"/>
        <v>2896541.0372727271</v>
      </c>
      <c r="N37" s="18">
        <f t="shared" si="11"/>
        <v>2896541.0372727271</v>
      </c>
      <c r="O37" s="18">
        <f t="shared" si="11"/>
        <v>2896541.0372727271</v>
      </c>
      <c r="P37" s="31">
        <f t="shared" si="12"/>
        <v>32171738.000000004</v>
      </c>
      <c r="Q37" s="40">
        <v>32171738</v>
      </c>
      <c r="R37" s="42">
        <f t="shared" si="4"/>
        <v>0</v>
      </c>
    </row>
    <row r="38" spans="1:18" s="1" customFormat="1" ht="19.7" customHeight="1" x14ac:dyDescent="0.2">
      <c r="A38" s="7" t="s">
        <v>32</v>
      </c>
      <c r="B38" s="7" t="s">
        <v>33</v>
      </c>
      <c r="C38" s="18">
        <v>739.020000000001</v>
      </c>
      <c r="D38" s="31">
        <f t="shared" si="10"/>
        <v>739.020000000001</v>
      </c>
      <c r="E38" s="18">
        <f t="shared" si="11"/>
        <v>37606.725454545456</v>
      </c>
      <c r="F38" s="18">
        <f t="shared" si="11"/>
        <v>37606.725454545456</v>
      </c>
      <c r="G38" s="18">
        <f t="shared" si="11"/>
        <v>37606.725454545456</v>
      </c>
      <c r="H38" s="18">
        <f t="shared" si="11"/>
        <v>37606.725454545456</v>
      </c>
      <c r="I38" s="18">
        <f t="shared" si="11"/>
        <v>37606.725454545456</v>
      </c>
      <c r="J38" s="18">
        <f t="shared" si="11"/>
        <v>37606.725454545456</v>
      </c>
      <c r="K38" s="18">
        <f t="shared" si="11"/>
        <v>37606.725454545456</v>
      </c>
      <c r="L38" s="18">
        <f t="shared" si="11"/>
        <v>37606.725454545456</v>
      </c>
      <c r="M38" s="18">
        <f t="shared" si="11"/>
        <v>37606.725454545456</v>
      </c>
      <c r="N38" s="18">
        <f t="shared" si="11"/>
        <v>37606.725454545456</v>
      </c>
      <c r="O38" s="18">
        <f t="shared" si="11"/>
        <v>37606.725454545456</v>
      </c>
      <c r="P38" s="31">
        <f t="shared" si="12"/>
        <v>414413.00000000006</v>
      </c>
      <c r="Q38" s="40">
        <v>414413</v>
      </c>
      <c r="R38" s="42">
        <f t="shared" si="4"/>
        <v>0</v>
      </c>
    </row>
    <row r="39" spans="1:18" s="1" customFormat="1" ht="19.7" customHeight="1" x14ac:dyDescent="0.2">
      <c r="A39" s="7" t="s">
        <v>34</v>
      </c>
      <c r="B39" s="7" t="s">
        <v>35</v>
      </c>
      <c r="C39" s="18">
        <v>388197.01</v>
      </c>
      <c r="D39" s="31">
        <f t="shared" si="10"/>
        <v>388197.01</v>
      </c>
      <c r="E39" s="18">
        <f t="shared" si="11"/>
        <v>1086449.4536363636</v>
      </c>
      <c r="F39" s="18">
        <f t="shared" si="11"/>
        <v>1086449.4536363636</v>
      </c>
      <c r="G39" s="18">
        <f t="shared" si="11"/>
        <v>1086449.4536363636</v>
      </c>
      <c r="H39" s="18">
        <f t="shared" si="11"/>
        <v>1086449.4536363636</v>
      </c>
      <c r="I39" s="18">
        <f t="shared" si="11"/>
        <v>1086449.4536363636</v>
      </c>
      <c r="J39" s="18">
        <f t="shared" si="11"/>
        <v>1086449.4536363636</v>
      </c>
      <c r="K39" s="18">
        <f t="shared" si="11"/>
        <v>1086449.4536363636</v>
      </c>
      <c r="L39" s="18">
        <f t="shared" si="11"/>
        <v>1086449.4536363636</v>
      </c>
      <c r="M39" s="18">
        <f t="shared" si="11"/>
        <v>1086449.4536363636</v>
      </c>
      <c r="N39" s="18">
        <f t="shared" si="11"/>
        <v>1086449.4536363636</v>
      </c>
      <c r="O39" s="18">
        <f t="shared" si="11"/>
        <v>1086449.4536363636</v>
      </c>
      <c r="P39" s="31">
        <f t="shared" si="12"/>
        <v>12339140.999999996</v>
      </c>
      <c r="Q39" s="40">
        <v>12339141</v>
      </c>
      <c r="R39" s="42">
        <f t="shared" si="4"/>
        <v>0</v>
      </c>
    </row>
    <row r="40" spans="1:18" s="1" customFormat="1" ht="19.7" customHeight="1" x14ac:dyDescent="0.2">
      <c r="A40" s="7" t="s">
        <v>36</v>
      </c>
      <c r="B40" s="7" t="s">
        <v>37</v>
      </c>
      <c r="C40" s="18">
        <v>2461.16</v>
      </c>
      <c r="D40" s="31">
        <f t="shared" si="10"/>
        <v>2461.16</v>
      </c>
      <c r="E40" s="18">
        <f t="shared" si="11"/>
        <v>29589.894545454546</v>
      </c>
      <c r="F40" s="18">
        <f t="shared" si="11"/>
        <v>29589.894545454546</v>
      </c>
      <c r="G40" s="18">
        <f t="shared" si="11"/>
        <v>29589.894545454546</v>
      </c>
      <c r="H40" s="18">
        <f t="shared" si="11"/>
        <v>29589.894545454546</v>
      </c>
      <c r="I40" s="18">
        <f t="shared" si="11"/>
        <v>29589.894545454546</v>
      </c>
      <c r="J40" s="18">
        <f t="shared" si="11"/>
        <v>29589.894545454546</v>
      </c>
      <c r="K40" s="18">
        <f t="shared" si="11"/>
        <v>29589.894545454546</v>
      </c>
      <c r="L40" s="18">
        <f t="shared" si="11"/>
        <v>29589.894545454546</v>
      </c>
      <c r="M40" s="18">
        <f t="shared" si="11"/>
        <v>29589.894545454546</v>
      </c>
      <c r="N40" s="18">
        <f t="shared" si="11"/>
        <v>29589.894545454546</v>
      </c>
      <c r="O40" s="18">
        <f t="shared" si="11"/>
        <v>29589.894545454546</v>
      </c>
      <c r="P40" s="31">
        <f t="shared" si="12"/>
        <v>327949.99999999994</v>
      </c>
      <c r="Q40" s="40">
        <v>327950</v>
      </c>
      <c r="R40" s="42">
        <f t="shared" si="4"/>
        <v>0</v>
      </c>
    </row>
    <row r="41" spans="1:18" s="1" customFormat="1" ht="19.7" customHeight="1" x14ac:dyDescent="0.2">
      <c r="A41" s="7" t="s">
        <v>38</v>
      </c>
      <c r="B41" s="7" t="s">
        <v>39</v>
      </c>
      <c r="C41" s="18">
        <v>6859.5</v>
      </c>
      <c r="D41" s="31">
        <f t="shared" si="10"/>
        <v>6859.5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31">
        <f t="shared" si="12"/>
        <v>6859.5</v>
      </c>
      <c r="Q41" s="40">
        <v>0</v>
      </c>
      <c r="R41" s="42">
        <f t="shared" si="4"/>
        <v>6859.5</v>
      </c>
    </row>
    <row r="42" spans="1:18" s="1" customFormat="1" ht="19.7" customHeight="1" thickBot="1" x14ac:dyDescent="0.25">
      <c r="A42" s="8" t="s">
        <v>40</v>
      </c>
      <c r="B42" s="11"/>
      <c r="C42" s="19">
        <f>SUM(C35:C41)</f>
        <v>1369828.38</v>
      </c>
      <c r="D42" s="32">
        <f t="shared" si="10"/>
        <v>1369828.38</v>
      </c>
      <c r="E42" s="19">
        <f t="shared" ref="E42:P42" si="13">SUM(E35:E41)</f>
        <v>10498865.192727271</v>
      </c>
      <c r="F42" s="19">
        <f t="shared" si="13"/>
        <v>10498865.192727271</v>
      </c>
      <c r="G42" s="19">
        <f t="shared" si="13"/>
        <v>10498865.192727271</v>
      </c>
      <c r="H42" s="19">
        <f t="shared" si="13"/>
        <v>10498865.192727271</v>
      </c>
      <c r="I42" s="19">
        <f t="shared" si="13"/>
        <v>10498865.192727271</v>
      </c>
      <c r="J42" s="19">
        <f t="shared" si="13"/>
        <v>10498865.192727271</v>
      </c>
      <c r="K42" s="19">
        <f t="shared" si="13"/>
        <v>10498865.192727271</v>
      </c>
      <c r="L42" s="19">
        <f t="shared" si="13"/>
        <v>10498865.192727271</v>
      </c>
      <c r="M42" s="19">
        <f t="shared" si="13"/>
        <v>10498865.192727271</v>
      </c>
      <c r="N42" s="19">
        <f t="shared" si="13"/>
        <v>10498865.192727271</v>
      </c>
      <c r="O42" s="19">
        <f t="shared" si="13"/>
        <v>10498865.192727271</v>
      </c>
      <c r="P42" s="32">
        <f t="shared" si="13"/>
        <v>116857345.5</v>
      </c>
    </row>
    <row r="43" spans="1:18" s="1" customFormat="1" ht="18.2" customHeight="1" x14ac:dyDescent="0.2">
      <c r="A43" s="6"/>
      <c r="B43" s="6"/>
      <c r="C43" s="17"/>
      <c r="D43" s="3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30"/>
    </row>
    <row r="44" spans="1:18" s="1" customFormat="1" ht="19.7" customHeight="1" x14ac:dyDescent="0.2">
      <c r="A44" s="3" t="s">
        <v>41</v>
      </c>
      <c r="B44" s="5"/>
      <c r="C44" s="16">
        <f t="shared" ref="C44:O44" si="14">C33-C42</f>
        <v>3672284.8500000006</v>
      </c>
      <c r="D44" s="33">
        <f t="shared" si="14"/>
        <v>3672284.8500000006</v>
      </c>
      <c r="E44" s="16">
        <f t="shared" si="14"/>
        <v>125898.05909091048</v>
      </c>
      <c r="F44" s="16">
        <f t="shared" si="14"/>
        <v>125898.05909091048</v>
      </c>
      <c r="G44" s="16">
        <f t="shared" si="14"/>
        <v>125898.05909091048</v>
      </c>
      <c r="H44" s="16">
        <f t="shared" si="14"/>
        <v>125898.05909091048</v>
      </c>
      <c r="I44" s="16">
        <f t="shared" si="14"/>
        <v>125898.05909091048</v>
      </c>
      <c r="J44" s="16">
        <f t="shared" si="14"/>
        <v>125898.05909091048</v>
      </c>
      <c r="K44" s="16">
        <f t="shared" si="14"/>
        <v>125898.05909091048</v>
      </c>
      <c r="L44" s="16">
        <f t="shared" si="14"/>
        <v>125898.05909091048</v>
      </c>
      <c r="M44" s="16">
        <f t="shared" si="14"/>
        <v>125898.05909091048</v>
      </c>
      <c r="N44" s="16">
        <f t="shared" si="14"/>
        <v>125898.05909091048</v>
      </c>
      <c r="O44" s="16">
        <f t="shared" si="14"/>
        <v>125898.05909091048</v>
      </c>
      <c r="P44" s="26">
        <f>SUM(C44:O44)-D44</f>
        <v>5057163.5000000158</v>
      </c>
    </row>
    <row r="45" spans="1:18" s="1" customFormat="1" ht="18.2" customHeight="1" x14ac:dyDescent="0.2">
      <c r="A45" s="6"/>
      <c r="B45" s="6"/>
      <c r="C45" s="17"/>
      <c r="D45" s="30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30"/>
    </row>
    <row r="46" spans="1:18" s="1" customFormat="1" ht="19.7" hidden="1" customHeight="1" x14ac:dyDescent="0.2">
      <c r="A46" s="43" t="s">
        <v>42</v>
      </c>
      <c r="B46" s="6"/>
      <c r="C46" s="17"/>
      <c r="D46" s="30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hidden="1" customHeight="1" x14ac:dyDescent="0.2">
      <c r="A47" s="7" t="s">
        <v>43</v>
      </c>
      <c r="B47" s="7" t="s">
        <v>44</v>
      </c>
      <c r="C47" s="18">
        <v>0</v>
      </c>
      <c r="D47" s="31"/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30"/>
    </row>
    <row r="48" spans="1:18" s="1" customFormat="1" ht="19.7" hidden="1" customHeight="1" x14ac:dyDescent="0.2">
      <c r="A48" s="7" t="s">
        <v>45</v>
      </c>
      <c r="B48" s="7" t="s">
        <v>46</v>
      </c>
      <c r="C48" s="18">
        <v>-549670.55000000005</v>
      </c>
      <c r="D48" s="31"/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0"/>
    </row>
    <row r="49" spans="1:16" s="1" customFormat="1" ht="19.7" hidden="1" customHeight="1" x14ac:dyDescent="0.2">
      <c r="A49" s="7" t="s">
        <v>47</v>
      </c>
      <c r="B49" s="7" t="s">
        <v>48</v>
      </c>
      <c r="C49" s="18">
        <v>-161249.21</v>
      </c>
      <c r="D49" s="31"/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0"/>
    </row>
    <row r="50" spans="1:16" s="1" customFormat="1" ht="19.7" hidden="1" customHeight="1" x14ac:dyDescent="0.2">
      <c r="A50" s="7" t="s">
        <v>49</v>
      </c>
      <c r="B50" s="7" t="s">
        <v>50</v>
      </c>
      <c r="C50" s="18">
        <v>0</v>
      </c>
      <c r="D50" s="31"/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43" t="s">
        <v>51</v>
      </c>
      <c r="B51" s="6"/>
      <c r="C51" s="17"/>
      <c r="D51" s="31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30"/>
    </row>
    <row r="52" spans="1:16" s="1" customFormat="1" ht="19.7" hidden="1" customHeight="1" x14ac:dyDescent="0.2">
      <c r="A52" s="7" t="s">
        <v>52</v>
      </c>
      <c r="B52" s="7" t="s">
        <v>53</v>
      </c>
      <c r="C52" s="18">
        <v>0</v>
      </c>
      <c r="D52" s="31"/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30"/>
    </row>
    <row r="53" spans="1:16" s="1" customFormat="1" ht="19.7" hidden="1" customHeight="1" x14ac:dyDescent="0.2">
      <c r="A53" s="7" t="s">
        <v>54</v>
      </c>
      <c r="B53" s="7" t="s">
        <v>55</v>
      </c>
      <c r="C53" s="18">
        <v>-9915739.1699999999</v>
      </c>
      <c r="D53" s="31"/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7" t="s">
        <v>52</v>
      </c>
      <c r="B54" s="7" t="s">
        <v>56</v>
      </c>
      <c r="C54" s="18">
        <v>555637.31999999995</v>
      </c>
      <c r="D54" s="31"/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0"/>
    </row>
    <row r="55" spans="1:16" s="1" customFormat="1" ht="19.7" hidden="1" customHeight="1" x14ac:dyDescent="0.2">
      <c r="A55" s="7" t="s">
        <v>57</v>
      </c>
      <c r="B55" s="7" t="s">
        <v>58</v>
      </c>
      <c r="C55" s="18">
        <v>0</v>
      </c>
      <c r="D55" s="31"/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23</v>
      </c>
      <c r="B56" s="7" t="s">
        <v>59</v>
      </c>
      <c r="C56" s="18">
        <v>0</v>
      </c>
      <c r="D56" s="31"/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60</v>
      </c>
      <c r="B57" s="7" t="s">
        <v>61</v>
      </c>
      <c r="C57" s="18">
        <v>0</v>
      </c>
      <c r="D57" s="31"/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62</v>
      </c>
      <c r="B58" s="7" t="s">
        <v>63</v>
      </c>
      <c r="C58" s="18">
        <v>0</v>
      </c>
      <c r="D58" s="31"/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30.95" hidden="1" customHeight="1" x14ac:dyDescent="0.2">
      <c r="A59" s="7" t="s">
        <v>64</v>
      </c>
      <c r="B59" s="12" t="s">
        <v>65</v>
      </c>
      <c r="C59" s="18">
        <v>0</v>
      </c>
      <c r="D59" s="31"/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19.7" customHeight="1" thickBot="1" x14ac:dyDescent="0.25">
      <c r="A60" s="8" t="s">
        <v>66</v>
      </c>
      <c r="B60" s="11"/>
      <c r="C60" s="19">
        <f>SUM(C47:C59)</f>
        <v>-10071021.609999999</v>
      </c>
      <c r="D60" s="32"/>
      <c r="E60" s="19">
        <v>-1200000</v>
      </c>
      <c r="F60" s="19">
        <v>-1200000</v>
      </c>
      <c r="G60" s="19">
        <v>-1200000</v>
      </c>
      <c r="H60" s="19">
        <v>-1200000</v>
      </c>
      <c r="I60" s="19">
        <v>-1200000</v>
      </c>
      <c r="J60" s="19">
        <v>-1200000</v>
      </c>
      <c r="K60" s="19">
        <v>-1200000</v>
      </c>
      <c r="L60" s="19">
        <v>-1200000</v>
      </c>
      <c r="M60" s="19">
        <v>-1200000</v>
      </c>
      <c r="N60" s="19">
        <v>-1200000</v>
      </c>
      <c r="O60" s="19">
        <v>-1200000</v>
      </c>
      <c r="P60" s="38"/>
    </row>
    <row r="61" spans="1:16" s="1" customFormat="1" ht="18.2" customHeight="1" x14ac:dyDescent="0.2">
      <c r="A61" s="6"/>
      <c r="B61" s="6"/>
      <c r="C61" s="17"/>
      <c r="D61" s="30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30"/>
    </row>
    <row r="62" spans="1:16" s="1" customFormat="1" ht="19.7" customHeight="1" thickBot="1" x14ac:dyDescent="0.25">
      <c r="A62" s="13" t="s">
        <v>67</v>
      </c>
      <c r="B62" s="14"/>
      <c r="C62" s="20">
        <f>C3+C44+C60</f>
        <v>17276325.860000003</v>
      </c>
      <c r="D62" s="34"/>
      <c r="E62" s="20">
        <f t="shared" ref="E62:O62" si="15">E3+E44+E60</f>
        <v>16202223.919090912</v>
      </c>
      <c r="F62" s="20">
        <f t="shared" si="15"/>
        <v>15128121.978181822</v>
      </c>
      <c r="G62" s="20">
        <f t="shared" si="15"/>
        <v>14054020.037272733</v>
      </c>
      <c r="H62" s="20">
        <f t="shared" si="15"/>
        <v>12979918.096363643</v>
      </c>
      <c r="I62" s="20">
        <f t="shared" si="15"/>
        <v>11905816.155454554</v>
      </c>
      <c r="J62" s="20">
        <f t="shared" si="15"/>
        <v>10831714.214545464</v>
      </c>
      <c r="K62" s="20">
        <f t="shared" si="15"/>
        <v>9757612.2736363746</v>
      </c>
      <c r="L62" s="20">
        <f t="shared" si="15"/>
        <v>8683510.3327272851</v>
      </c>
      <c r="M62" s="20">
        <f t="shared" si="15"/>
        <v>7609408.3918181956</v>
      </c>
      <c r="N62" s="20">
        <f t="shared" si="15"/>
        <v>6535306.4509091061</v>
      </c>
      <c r="O62" s="20">
        <f t="shared" si="15"/>
        <v>5461204.5100000165</v>
      </c>
      <c r="P62" s="39"/>
    </row>
    <row r="63" spans="1:16" s="1" customFormat="1" ht="28.7" customHeight="1" x14ac:dyDescent="0.2">
      <c r="C63" s="21"/>
      <c r="D63" s="35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</sheetData>
  <sheetProtection algorithmName="SHA-512" hashValue="6cLP4ud6yaRAPRycSkUgHnYHI8xP7Q0w8jU6FMAWY0XqUkxTxZWFLx4a95HpVCVTTKPAMqOBJDu0WWMaWQ3IiA==" saltValue="qNj2avZ97m5KwsBDAP2QDw==" spinCount="100000" sheet="1" objects="1" scenarios="1"/>
  <mergeCells count="2">
    <mergeCell ref="A1:B1"/>
    <mergeCell ref="F1:H1"/>
  </mergeCells>
  <pageMargins left="0.7" right="0.7" top="0.75" bottom="0.75" header="0.3" footer="0.3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C3447-26DF-45D1-8CE3-57344E060BFB}">
  <sheetPr>
    <pageSetUpPr fitToPage="1"/>
  </sheetPr>
  <dimension ref="A1:R6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25" sqref="H25"/>
    </sheetView>
  </sheetViews>
  <sheetFormatPr defaultRowHeight="12.75" x14ac:dyDescent="0.2"/>
  <cols>
    <col min="1" max="1" width="35.5703125" customWidth="1"/>
    <col min="2" max="2" width="20" customWidth="1"/>
    <col min="3" max="12" width="20" style="22" customWidth="1"/>
    <col min="13" max="13" width="22.42578125" style="36" bestFit="1" customWidth="1"/>
    <col min="14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9" t="s">
        <v>0</v>
      </c>
      <c r="B1" s="69"/>
      <c r="C1" s="27"/>
      <c r="D1" s="27"/>
      <c r="E1" s="27" t="s">
        <v>1</v>
      </c>
      <c r="F1" s="27"/>
      <c r="G1" s="27"/>
      <c r="H1" s="27"/>
      <c r="I1" s="27"/>
      <c r="J1" s="27"/>
      <c r="K1" s="27"/>
      <c r="L1" s="27"/>
      <c r="M1" s="29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  <c r="K2" s="16" t="s">
        <v>12</v>
      </c>
      <c r="L2" s="16" t="s">
        <v>13</v>
      </c>
      <c r="M2" s="25" t="s">
        <v>16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 t="shared" ref="D3:G3" si="0">C65</f>
        <v>17276325.860000003</v>
      </c>
      <c r="E3" s="16">
        <f t="shared" si="0"/>
        <v>16141735.990000002</v>
      </c>
      <c r="F3" s="16">
        <f t="shared" si="0"/>
        <v>29148168.039999999</v>
      </c>
      <c r="G3" s="16">
        <f t="shared" si="0"/>
        <v>25608081.890000008</v>
      </c>
      <c r="H3" s="16">
        <f>G65</f>
        <v>20755863.520000007</v>
      </c>
      <c r="I3" s="16">
        <f>H65</f>
        <v>23280868.340000007</v>
      </c>
      <c r="J3" s="16">
        <f>I65</f>
        <v>19874297.690000009</v>
      </c>
      <c r="K3" s="16">
        <f>J65</f>
        <v>16159430.54000001</v>
      </c>
      <c r="L3" s="16">
        <f>K65</f>
        <v>19884852.560000014</v>
      </c>
      <c r="M3" s="50" t="s">
        <v>133</v>
      </c>
      <c r="N3" s="16">
        <f>L65</f>
        <v>17524740.670000013</v>
      </c>
      <c r="O3" s="16">
        <f t="shared" ref="O3" si="1">N65</f>
        <v>21800820.415000014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17"/>
      <c r="I4" s="17"/>
      <c r="J4" s="17"/>
      <c r="K4" s="17"/>
      <c r="L4" s="17"/>
      <c r="M4" s="30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18">
        <v>0</v>
      </c>
      <c r="I5" s="18">
        <v>0</v>
      </c>
      <c r="J5" s="18">
        <v>0</v>
      </c>
      <c r="K5" s="18">
        <v>-150599</v>
      </c>
      <c r="L5" s="18">
        <v>0</v>
      </c>
      <c r="M5" s="31">
        <f t="shared" ref="M5:M16" si="2">SUM(C5:L5)</f>
        <v>-150599</v>
      </c>
      <c r="N5" s="18">
        <v>0</v>
      </c>
      <c r="O5" s="18">
        <v>0</v>
      </c>
      <c r="P5" s="31">
        <f t="shared" ref="P5:P31" si="3">SUM(C5:O5)-M5</f>
        <v>-150599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28">
        <v>2773191</v>
      </c>
      <c r="I6" s="28">
        <v>6488557</v>
      </c>
      <c r="J6" s="28">
        <v>5511785</v>
      </c>
      <c r="K6" s="28">
        <v>12463349.01</v>
      </c>
      <c r="L6" s="28">
        <v>4563537</v>
      </c>
      <c r="M6" s="31">
        <f t="shared" si="2"/>
        <v>57868407.009999998</v>
      </c>
      <c r="N6" s="28">
        <f t="shared" ref="N6:O16" si="4">($Q6-$M6)/2</f>
        <v>13479744.995000001</v>
      </c>
      <c r="O6" s="28">
        <f t="shared" si="4"/>
        <v>13479744.995000001</v>
      </c>
      <c r="P6" s="31">
        <f t="shared" si="3"/>
        <v>84827897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28">
        <v>89675</v>
      </c>
      <c r="I7" s="28">
        <v>143481</v>
      </c>
      <c r="J7" s="28">
        <v>143481</v>
      </c>
      <c r="K7" s="28">
        <v>143481</v>
      </c>
      <c r="L7" s="28">
        <v>143481</v>
      </c>
      <c r="M7" s="31">
        <f t="shared" si="2"/>
        <v>1506550</v>
      </c>
      <c r="N7" s="28">
        <f t="shared" si="4"/>
        <v>143481</v>
      </c>
      <c r="O7" s="28">
        <f t="shared" si="4"/>
        <v>143481</v>
      </c>
      <c r="P7" s="31">
        <f t="shared" si="3"/>
        <v>1793512</v>
      </c>
      <c r="Q7" s="40">
        <v>1793512</v>
      </c>
      <c r="R7" s="42">
        <f t="shared" ref="R7:R42" si="5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28">
        <v>0</v>
      </c>
      <c r="I8" s="28">
        <v>0</v>
      </c>
      <c r="J8" s="28">
        <v>-903451</v>
      </c>
      <c r="K8" s="28">
        <v>0</v>
      </c>
      <c r="L8" s="28">
        <v>0</v>
      </c>
      <c r="M8" s="31">
        <f t="shared" si="2"/>
        <v>9141528</v>
      </c>
      <c r="N8" s="28">
        <f t="shared" si="4"/>
        <v>-4570764</v>
      </c>
      <c r="O8" s="28">
        <f t="shared" si="4"/>
        <v>-4570764</v>
      </c>
      <c r="P8" s="31">
        <f t="shared" si="3"/>
        <v>0</v>
      </c>
      <c r="Q8" s="40">
        <v>0</v>
      </c>
      <c r="R8" s="42">
        <f t="shared" si="5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28">
        <v>16008</v>
      </c>
      <c r="I9" s="28">
        <v>25614</v>
      </c>
      <c r="J9" s="28">
        <v>15149</v>
      </c>
      <c r="K9" s="28">
        <v>25613</v>
      </c>
      <c r="L9" s="28">
        <v>25614</v>
      </c>
      <c r="M9" s="31">
        <f t="shared" si="2"/>
        <v>258478</v>
      </c>
      <c r="N9" s="28">
        <f t="shared" si="4"/>
        <v>25761</v>
      </c>
      <c r="O9" s="28">
        <f t="shared" si="4"/>
        <v>25761</v>
      </c>
      <c r="P9" s="31">
        <f t="shared" si="3"/>
        <v>310000</v>
      </c>
      <c r="Q9" s="40">
        <v>310000</v>
      </c>
      <c r="R9" s="42">
        <f t="shared" si="5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353277</v>
      </c>
      <c r="K10" s="28">
        <v>0</v>
      </c>
      <c r="L10" s="28">
        <v>0</v>
      </c>
      <c r="M10" s="31">
        <f t="shared" si="2"/>
        <v>353277</v>
      </c>
      <c r="N10" s="28">
        <f t="shared" si="4"/>
        <v>-1638.5</v>
      </c>
      <c r="O10" s="28">
        <f t="shared" si="4"/>
        <v>-1638.5</v>
      </c>
      <c r="P10" s="31">
        <f t="shared" si="3"/>
        <v>350000</v>
      </c>
      <c r="Q10" s="40">
        <v>350000</v>
      </c>
      <c r="R10" s="42">
        <f t="shared" si="5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28">
        <v>6967</v>
      </c>
      <c r="I11" s="28">
        <v>11146</v>
      </c>
      <c r="J11" s="28">
        <v>11147</v>
      </c>
      <c r="K11" s="28">
        <v>11146</v>
      </c>
      <c r="L11" s="28">
        <v>11147</v>
      </c>
      <c r="M11" s="31">
        <f t="shared" si="2"/>
        <v>117039</v>
      </c>
      <c r="N11" s="28">
        <f t="shared" si="4"/>
        <v>16480.5</v>
      </c>
      <c r="O11" s="28">
        <f t="shared" si="4"/>
        <v>16480.5</v>
      </c>
      <c r="P11" s="31">
        <f t="shared" si="3"/>
        <v>150000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2051453</v>
      </c>
      <c r="I12" s="28">
        <v>-2051453</v>
      </c>
      <c r="J12" s="28">
        <v>20284</v>
      </c>
      <c r="K12" s="28">
        <v>0</v>
      </c>
      <c r="L12" s="28">
        <v>0</v>
      </c>
      <c r="M12" s="31">
        <f t="shared" si="2"/>
        <v>20284</v>
      </c>
      <c r="N12" s="28">
        <f t="shared" si="4"/>
        <v>2858</v>
      </c>
      <c r="O12" s="28">
        <f t="shared" si="4"/>
        <v>2858</v>
      </c>
      <c r="P12" s="31">
        <f t="shared" si="3"/>
        <v>26000</v>
      </c>
      <c r="Q12" s="40">
        <v>26000</v>
      </c>
      <c r="R12" s="42">
        <f t="shared" si="5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8231.5</v>
      </c>
      <c r="I13" s="28">
        <v>19206.830000000002</v>
      </c>
      <c r="J13" s="28">
        <v>0</v>
      </c>
      <c r="K13" s="28">
        <v>0</v>
      </c>
      <c r="L13" s="28">
        <v>0</v>
      </c>
      <c r="M13" s="31">
        <f t="shared" si="2"/>
        <v>27438.33</v>
      </c>
      <c r="N13" s="28">
        <f t="shared" si="4"/>
        <v>-13719.165000000001</v>
      </c>
      <c r="O13" s="28">
        <f t="shared" si="4"/>
        <v>-13719.165000000001</v>
      </c>
      <c r="P13" s="31">
        <f t="shared" si="3"/>
        <v>0</v>
      </c>
      <c r="Q13" s="40">
        <v>0</v>
      </c>
      <c r="R13" s="42">
        <f t="shared" si="5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28">
        <v>1199709.76</v>
      </c>
      <c r="I14" s="28">
        <v>0</v>
      </c>
      <c r="J14" s="28">
        <v>0</v>
      </c>
      <c r="K14" s="28">
        <v>1083972.7</v>
      </c>
      <c r="L14" s="28">
        <v>-379562.63</v>
      </c>
      <c r="M14" s="31">
        <f t="shared" si="2"/>
        <v>2004908.7700000005</v>
      </c>
      <c r="N14" s="28">
        <f t="shared" si="4"/>
        <v>247545.61499999976</v>
      </c>
      <c r="O14" s="28">
        <f t="shared" si="4"/>
        <v>247545.61499999976</v>
      </c>
      <c r="P14" s="31">
        <f t="shared" si="3"/>
        <v>2500000.0000000009</v>
      </c>
      <c r="Q14" s="40">
        <v>2500000</v>
      </c>
      <c r="R14" s="42">
        <f t="shared" si="5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31">
        <f t="shared" si="2"/>
        <v>0</v>
      </c>
      <c r="N15" s="28">
        <f t="shared" si="4"/>
        <v>0</v>
      </c>
      <c r="O15" s="28">
        <f t="shared" si="4"/>
        <v>0</v>
      </c>
      <c r="P15" s="31">
        <f t="shared" si="3"/>
        <v>0</v>
      </c>
      <c r="Q15" s="40">
        <v>0</v>
      </c>
      <c r="R15" s="42">
        <f t="shared" si="5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31">
        <f t="shared" si="2"/>
        <v>478796</v>
      </c>
      <c r="N16" s="28">
        <f t="shared" si="4"/>
        <v>-14398</v>
      </c>
      <c r="O16" s="28">
        <f t="shared" si="4"/>
        <v>-14398</v>
      </c>
      <c r="P16" s="31">
        <f t="shared" si="3"/>
        <v>450000</v>
      </c>
      <c r="Q16" s="40">
        <v>450000</v>
      </c>
      <c r="R16" s="42">
        <f t="shared" si="5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v>4617346</v>
      </c>
      <c r="D17" s="18">
        <v>4617345</v>
      </c>
      <c r="E17" s="18">
        <v>17659330.199999999</v>
      </c>
      <c r="F17" s="18">
        <v>5184138.74</v>
      </c>
      <c r="G17" s="18">
        <v>5673309</v>
      </c>
      <c r="H17" s="18">
        <v>6145235.2599999998</v>
      </c>
      <c r="I17" s="18">
        <v>4636551.83</v>
      </c>
      <c r="J17" s="18">
        <v>5151672</v>
      </c>
      <c r="K17" s="18">
        <v>13727561.710000001</v>
      </c>
      <c r="L17" s="18">
        <v>4364216.37</v>
      </c>
      <c r="M17" s="31">
        <f>SUM(M6:M16)</f>
        <v>71776706.109999985</v>
      </c>
      <c r="N17" s="18">
        <f t="shared" ref="N17:O17" si="6">SUM(N6:N16)</f>
        <v>9315351.4450000022</v>
      </c>
      <c r="O17" s="18">
        <f t="shared" si="6"/>
        <v>9315351.4450000022</v>
      </c>
      <c r="P17" s="31">
        <f t="shared" si="3"/>
        <v>90407408.99999997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5657380.1799999997</v>
      </c>
      <c r="I18" s="28">
        <v>1414345.04</v>
      </c>
      <c r="J18" s="28">
        <v>792950.26</v>
      </c>
      <c r="K18" s="28">
        <v>0</v>
      </c>
      <c r="L18" s="28">
        <v>4188745.26</v>
      </c>
      <c r="M18" s="31">
        <f t="shared" ref="M18:M31" si="7">SUM(C18:L18)</f>
        <v>12053420.739999998</v>
      </c>
      <c r="N18" s="28">
        <f t="shared" ref="N18:O31" si="8">($Q18-$M18)/2</f>
        <v>973289.63000000082</v>
      </c>
      <c r="O18" s="28">
        <f t="shared" si="8"/>
        <v>973289.63000000082</v>
      </c>
      <c r="P18" s="31">
        <f t="shared" si="3"/>
        <v>14000000.000000004</v>
      </c>
      <c r="Q18" s="40">
        <v>14000000</v>
      </c>
      <c r="R18" s="42">
        <f t="shared" si="5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28">
        <v>2325.27</v>
      </c>
      <c r="I19" s="28">
        <v>28490.65</v>
      </c>
      <c r="J19" s="28">
        <v>35489.11</v>
      </c>
      <c r="K19" s="28">
        <v>15368.44</v>
      </c>
      <c r="L19" s="28">
        <v>28691.360000000001</v>
      </c>
      <c r="M19" s="31">
        <f t="shared" si="7"/>
        <v>242847.43999999994</v>
      </c>
      <c r="N19" s="28">
        <f t="shared" si="8"/>
        <v>18576.280000000028</v>
      </c>
      <c r="O19" s="28">
        <f t="shared" si="8"/>
        <v>18576.280000000028</v>
      </c>
      <c r="P19" s="31">
        <f t="shared" si="3"/>
        <v>280000</v>
      </c>
      <c r="Q19" s="40">
        <v>280000</v>
      </c>
      <c r="R19" s="42">
        <f t="shared" si="5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28">
        <v>0</v>
      </c>
      <c r="I20" s="28">
        <v>0</v>
      </c>
      <c r="J20" s="28">
        <v>0</v>
      </c>
      <c r="K20" s="28">
        <v>32750.81</v>
      </c>
      <c r="L20" s="28">
        <v>0</v>
      </c>
      <c r="M20" s="31">
        <f t="shared" si="7"/>
        <v>443015.11</v>
      </c>
      <c r="N20" s="28">
        <f t="shared" si="8"/>
        <v>-111507.55499999999</v>
      </c>
      <c r="O20" s="28">
        <f t="shared" si="8"/>
        <v>-111507.55499999999</v>
      </c>
      <c r="P20" s="31">
        <f t="shared" si="3"/>
        <v>220000.00000000012</v>
      </c>
      <c r="Q20" s="40">
        <v>220000</v>
      </c>
      <c r="R20" s="42">
        <f t="shared" si="5"/>
        <v>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28">
        <v>92907.790000000008</v>
      </c>
      <c r="I21" s="28">
        <v>800.32</v>
      </c>
      <c r="J21" s="28">
        <v>-105385.18</v>
      </c>
      <c r="K21" s="28">
        <v>10805.83</v>
      </c>
      <c r="L21" s="28">
        <v>-13590.08</v>
      </c>
      <c r="M21" s="31">
        <f t="shared" si="7"/>
        <v>377671.23</v>
      </c>
      <c r="N21" s="28">
        <f t="shared" si="8"/>
        <v>-88835.614999999991</v>
      </c>
      <c r="O21" s="28">
        <f t="shared" si="8"/>
        <v>-88835.614999999991</v>
      </c>
      <c r="P21" s="31">
        <f t="shared" si="3"/>
        <v>200000</v>
      </c>
      <c r="Q21" s="40">
        <v>200000</v>
      </c>
      <c r="R21" s="42">
        <f t="shared" si="5"/>
        <v>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28">
        <v>427171.94</v>
      </c>
      <c r="I22" s="28">
        <v>0</v>
      </c>
      <c r="J22" s="28">
        <v>250323.67</v>
      </c>
      <c r="K22" s="28">
        <v>0</v>
      </c>
      <c r="L22" s="28">
        <v>0</v>
      </c>
      <c r="M22" s="31">
        <f t="shared" si="7"/>
        <v>754113.16</v>
      </c>
      <c r="N22" s="28">
        <f t="shared" si="8"/>
        <v>3872943.42</v>
      </c>
      <c r="O22" s="28">
        <f t="shared" si="8"/>
        <v>3872943.42</v>
      </c>
      <c r="P22" s="31">
        <f t="shared" si="3"/>
        <v>8500000</v>
      </c>
      <c r="Q22" s="40">
        <v>8500000</v>
      </c>
      <c r="R22" s="42">
        <f t="shared" si="5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1085599.1100000001</v>
      </c>
      <c r="J23" s="28">
        <v>0</v>
      </c>
      <c r="K23" s="28">
        <v>0</v>
      </c>
      <c r="L23" s="28">
        <v>0</v>
      </c>
      <c r="M23" s="31">
        <f t="shared" si="7"/>
        <v>1085599.1100000001</v>
      </c>
      <c r="N23" s="28">
        <f t="shared" si="8"/>
        <v>392548.44499999995</v>
      </c>
      <c r="O23" s="28">
        <f t="shared" si="8"/>
        <v>392548.44499999995</v>
      </c>
      <c r="P23" s="31">
        <f t="shared" si="3"/>
        <v>1870695.9999999998</v>
      </c>
      <c r="Q23" s="40">
        <v>1870696</v>
      </c>
      <c r="R23" s="42">
        <f t="shared" si="5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28">
        <v>10</v>
      </c>
      <c r="I24" s="28">
        <v>5</v>
      </c>
      <c r="J24" s="28">
        <v>5</v>
      </c>
      <c r="K24" s="28">
        <v>0</v>
      </c>
      <c r="L24" s="28">
        <v>0</v>
      </c>
      <c r="M24" s="31">
        <f t="shared" si="7"/>
        <v>45</v>
      </c>
      <c r="N24" s="28">
        <f t="shared" si="8"/>
        <v>-22.5</v>
      </c>
      <c r="O24" s="28">
        <f t="shared" si="8"/>
        <v>-22.5</v>
      </c>
      <c r="P24" s="31">
        <f t="shared" si="3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28">
        <v>3807</v>
      </c>
      <c r="I25" s="28">
        <v>640</v>
      </c>
      <c r="J25" s="28">
        <v>1513.4</v>
      </c>
      <c r="K25" s="28">
        <v>2261.52</v>
      </c>
      <c r="L25" s="28">
        <v>16006</v>
      </c>
      <c r="M25" s="31">
        <f t="shared" si="7"/>
        <v>36816.720000000001</v>
      </c>
      <c r="N25" s="28">
        <f t="shared" si="8"/>
        <v>-8408.3599999999988</v>
      </c>
      <c r="O25" s="28">
        <f t="shared" si="8"/>
        <v>-8408.3599999999988</v>
      </c>
      <c r="P25" s="31">
        <f t="shared" si="3"/>
        <v>20000</v>
      </c>
      <c r="Q25" s="40">
        <v>20000.000000000004</v>
      </c>
      <c r="R25" s="42">
        <f t="shared" si="5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28">
        <v>0.06</v>
      </c>
      <c r="I26" s="28">
        <v>0.04</v>
      </c>
      <c r="J26" s="28">
        <v>305321.87</v>
      </c>
      <c r="K26" s="28">
        <v>-53906.99</v>
      </c>
      <c r="L26" s="28">
        <v>0</v>
      </c>
      <c r="M26" s="31">
        <f t="shared" si="7"/>
        <v>530854.55000000005</v>
      </c>
      <c r="N26" s="28">
        <f t="shared" si="8"/>
        <v>-215427.27500000002</v>
      </c>
      <c r="O26" s="28">
        <f t="shared" si="8"/>
        <v>-215427.27500000002</v>
      </c>
      <c r="P26" s="31">
        <f t="shared" si="3"/>
        <v>100000</v>
      </c>
      <c r="Q26" s="40">
        <v>100000</v>
      </c>
      <c r="R26" s="42">
        <f t="shared" si="5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176868</v>
      </c>
      <c r="J27" s="28">
        <v>0</v>
      </c>
      <c r="K27" s="28">
        <v>0</v>
      </c>
      <c r="L27" s="28">
        <v>0</v>
      </c>
      <c r="M27" s="31">
        <f t="shared" si="7"/>
        <v>176868</v>
      </c>
      <c r="N27" s="28">
        <f t="shared" si="8"/>
        <v>-25934</v>
      </c>
      <c r="O27" s="28">
        <f t="shared" si="8"/>
        <v>-25934</v>
      </c>
      <c r="P27" s="31">
        <f t="shared" si="3"/>
        <v>125000</v>
      </c>
      <c r="Q27" s="40">
        <v>125000</v>
      </c>
      <c r="R27" s="42">
        <f t="shared" si="5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28">
        <v>37880</v>
      </c>
      <c r="I28" s="28">
        <v>-15080</v>
      </c>
      <c r="J28" s="28">
        <v>-19425</v>
      </c>
      <c r="K28" s="28">
        <v>-4550</v>
      </c>
      <c r="L28" s="28">
        <v>-2600</v>
      </c>
      <c r="M28" s="31">
        <f t="shared" si="7"/>
        <v>1083750</v>
      </c>
      <c r="N28" s="28">
        <f t="shared" si="8"/>
        <v>458125</v>
      </c>
      <c r="O28" s="28">
        <f t="shared" si="8"/>
        <v>458125</v>
      </c>
      <c r="P28" s="31">
        <f t="shared" si="3"/>
        <v>2000000</v>
      </c>
      <c r="Q28" s="40">
        <v>2000000</v>
      </c>
      <c r="R28" s="42">
        <f t="shared" si="5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28">
        <v>1143.42</v>
      </c>
      <c r="I29" s="28">
        <v>600</v>
      </c>
      <c r="J29" s="28">
        <v>840</v>
      </c>
      <c r="K29" s="28">
        <v>0</v>
      </c>
      <c r="L29" s="28">
        <v>2340</v>
      </c>
      <c r="M29" s="31">
        <f t="shared" si="7"/>
        <v>9003.42</v>
      </c>
      <c r="N29" s="28">
        <f t="shared" si="8"/>
        <v>498.28999999999996</v>
      </c>
      <c r="O29" s="28">
        <f t="shared" si="8"/>
        <v>498.28999999999996</v>
      </c>
      <c r="P29" s="31">
        <f t="shared" si="3"/>
        <v>10000.000000000002</v>
      </c>
      <c r="Q29" s="40">
        <v>10000</v>
      </c>
      <c r="R29" s="42">
        <f t="shared" si="5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28">
        <v>110</v>
      </c>
      <c r="I30" s="28">
        <v>9159.9</v>
      </c>
      <c r="J30" s="28">
        <v>9860</v>
      </c>
      <c r="K30" s="28">
        <v>15437.25</v>
      </c>
      <c r="L30" s="28">
        <v>20347.45</v>
      </c>
      <c r="M30" s="31">
        <f t="shared" si="7"/>
        <v>101752.8</v>
      </c>
      <c r="N30" s="28">
        <f t="shared" si="8"/>
        <v>24123.599999999999</v>
      </c>
      <c r="O30" s="28">
        <f t="shared" si="8"/>
        <v>24123.599999999999</v>
      </c>
      <c r="P30" s="31">
        <f t="shared" si="3"/>
        <v>150000</v>
      </c>
      <c r="Q30" s="40">
        <v>150000</v>
      </c>
      <c r="R30" s="42">
        <f t="shared" si="5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28">
        <v>66926.960000000006</v>
      </c>
      <c r="I31" s="28">
        <v>-18816.5</v>
      </c>
      <c r="J31" s="28">
        <v>-5886.5</v>
      </c>
      <c r="K31" s="28">
        <v>-3093.5</v>
      </c>
      <c r="L31" s="28">
        <v>-2028.5</v>
      </c>
      <c r="M31" s="31">
        <f t="shared" si="7"/>
        <v>2039708.46</v>
      </c>
      <c r="N31" s="28">
        <f t="shared" si="8"/>
        <v>930847.77</v>
      </c>
      <c r="O31" s="28">
        <f t="shared" si="8"/>
        <v>930847.77</v>
      </c>
      <c r="P31" s="31">
        <f t="shared" si="3"/>
        <v>3901403.9999999991</v>
      </c>
      <c r="Q31" s="40">
        <v>3901404</v>
      </c>
      <c r="R31" s="42">
        <f t="shared" si="5"/>
        <v>0</v>
      </c>
    </row>
    <row r="32" spans="1:18" s="1" customFormat="1" ht="19.7" customHeight="1" x14ac:dyDescent="0.2">
      <c r="A32" s="47" t="s">
        <v>124</v>
      </c>
      <c r="B32" s="48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28">
        <v>-10</v>
      </c>
      <c r="I32" s="28"/>
      <c r="J32" s="28">
        <v>10</v>
      </c>
      <c r="K32" s="28">
        <v>0</v>
      </c>
      <c r="L32" s="28">
        <v>0</v>
      </c>
      <c r="M32" s="31"/>
      <c r="N32" s="28"/>
      <c r="O32" s="28"/>
      <c r="P32" s="31"/>
      <c r="Q32" s="40"/>
      <c r="R32" s="42"/>
    </row>
    <row r="33" spans="1:18" s="1" customFormat="1" ht="19.7" customHeight="1" x14ac:dyDescent="0.2">
      <c r="A33" s="23" t="s">
        <v>113</v>
      </c>
      <c r="B33" s="24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10537.46</v>
      </c>
      <c r="H33" s="28">
        <v>88303.14</v>
      </c>
      <c r="I33" s="28">
        <v>6735.07</v>
      </c>
      <c r="J33" s="28">
        <v>31836.57</v>
      </c>
      <c r="K33" s="28">
        <v>12523.36</v>
      </c>
      <c r="L33" s="28">
        <v>13374.32</v>
      </c>
      <c r="M33" s="31">
        <f>SUM(C33:L33)</f>
        <v>197175.22000000003</v>
      </c>
      <c r="N33" s="28">
        <f>($Q33-$M33)/2</f>
        <v>-33587.610000000015</v>
      </c>
      <c r="O33" s="28">
        <f>($Q33-$M33)/2</f>
        <v>-33587.610000000015</v>
      </c>
      <c r="P33" s="31">
        <f>SUM(C33:O33)-M33</f>
        <v>130000.00000000006</v>
      </c>
      <c r="Q33" s="40">
        <v>130000</v>
      </c>
      <c r="R33" s="42">
        <f t="shared" si="5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v>424767.23</v>
      </c>
      <c r="D34" s="18">
        <v>3103537.6500000004</v>
      </c>
      <c r="E34" s="18">
        <v>60252.72</v>
      </c>
      <c r="F34" s="18">
        <v>263656.40999999997</v>
      </c>
      <c r="G34" s="18">
        <v>636798.82999999996</v>
      </c>
      <c r="H34" s="18">
        <v>6377955.7599999998</v>
      </c>
      <c r="I34" s="18">
        <v>2689346.63</v>
      </c>
      <c r="J34" s="18">
        <v>1297453.2</v>
      </c>
      <c r="K34" s="18">
        <v>27596.720000000001</v>
      </c>
      <c r="L34" s="18">
        <v>4251285.8099999996</v>
      </c>
      <c r="M34" s="31">
        <f>SUM(M18:M33)</f>
        <v>19132640.960000001</v>
      </c>
      <c r="N34" s="18">
        <f t="shared" ref="N34" si="9">SUM(N18:N33)</f>
        <v>6187229.5200000005</v>
      </c>
      <c r="O34" s="18">
        <f>SUM(O18:O33)</f>
        <v>6187229.5200000005</v>
      </c>
      <c r="P34" s="31">
        <f>SUM(C34:O34)-M34</f>
        <v>31507110.000000007</v>
      </c>
      <c r="Q34" s="40"/>
      <c r="R34" s="42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" si="10">F34+F17+F5</f>
        <v>5240232.1500000004</v>
      </c>
      <c r="G35" s="19">
        <f t="shared" ref="G35:L35" si="11">G34+G17+G5</f>
        <v>6310107.8300000001</v>
      </c>
      <c r="H35" s="19">
        <f t="shared" si="11"/>
        <v>12523191.02</v>
      </c>
      <c r="I35" s="19">
        <f t="shared" si="11"/>
        <v>7325898.46</v>
      </c>
      <c r="J35" s="19">
        <f t="shared" si="11"/>
        <v>6449125.2000000002</v>
      </c>
      <c r="K35" s="19">
        <f t="shared" si="11"/>
        <v>13604559.430000002</v>
      </c>
      <c r="L35" s="19">
        <f t="shared" si="11"/>
        <v>8615502.1799999997</v>
      </c>
      <c r="M35" s="31">
        <f>SUM(C35:L35)</f>
        <v>90758758.069999993</v>
      </c>
      <c r="N35" s="19">
        <f t="shared" ref="N35:O35" si="12">N34+N17+N5</f>
        <v>15502580.965000004</v>
      </c>
      <c r="O35" s="19">
        <f t="shared" si="12"/>
        <v>15502580.965000004</v>
      </c>
      <c r="P35" s="32">
        <f>P34+P17+P5</f>
        <v>121763919.99999997</v>
      </c>
      <c r="Q35" s="41"/>
      <c r="R35" s="42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30"/>
      <c r="N36" s="17"/>
      <c r="O36" s="17"/>
      <c r="P36" s="30"/>
      <c r="R36" s="42">
        <f t="shared" si="5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4238406.0999999996</v>
      </c>
      <c r="H37" s="18">
        <v>4562212.7</v>
      </c>
      <c r="I37" s="18">
        <v>5105334.13</v>
      </c>
      <c r="J37" s="18">
        <v>5441568.9900000002</v>
      </c>
      <c r="K37" s="18">
        <v>4413859.9800000004</v>
      </c>
      <c r="L37" s="18">
        <v>5145730.4800000004</v>
      </c>
      <c r="M37" s="31">
        <f t="shared" ref="M37:M45" si="13">SUM(C37:L37)</f>
        <v>37290020.920000002</v>
      </c>
      <c r="N37" s="18">
        <f t="shared" ref="N37:N42" si="14">($Q37-$M37)/3</f>
        <v>3515414.6933333329</v>
      </c>
      <c r="O37" s="18">
        <f t="shared" ref="O37:O42" si="15">($Q37-$M37)/3*2</f>
        <v>7030829.3866666658</v>
      </c>
      <c r="P37" s="31">
        <f t="shared" ref="P37:P42" si="16">SUM(C37:O37)-M37</f>
        <v>47836265</v>
      </c>
      <c r="Q37" s="40">
        <v>47836265</v>
      </c>
      <c r="R37" s="42">
        <f t="shared" si="5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18">
        <v>1963188.44</v>
      </c>
      <c r="I38" s="18">
        <v>2029692.74</v>
      </c>
      <c r="J38" s="18">
        <v>1856798.83</v>
      </c>
      <c r="K38" s="18">
        <v>1963217.73</v>
      </c>
      <c r="L38" s="18">
        <v>2248399.64</v>
      </c>
      <c r="M38" s="31">
        <f t="shared" si="13"/>
        <v>17914242.109999999</v>
      </c>
      <c r="N38" s="18">
        <f t="shared" si="14"/>
        <v>1948912.2966666669</v>
      </c>
      <c r="O38" s="18">
        <f t="shared" si="15"/>
        <v>3897824.5933333337</v>
      </c>
      <c r="P38" s="31">
        <f t="shared" si="16"/>
        <v>23760979</v>
      </c>
      <c r="Q38" s="40">
        <v>23760979</v>
      </c>
      <c r="R38" s="42">
        <f t="shared" si="5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2594100.08</v>
      </c>
      <c r="H39" s="18">
        <v>3229447.09</v>
      </c>
      <c r="I39" s="18">
        <v>2740787.63</v>
      </c>
      <c r="J39" s="18">
        <v>2971056.2</v>
      </c>
      <c r="K39" s="18">
        <v>2769508.38</v>
      </c>
      <c r="L39" s="18">
        <v>3023279.89</v>
      </c>
      <c r="M39" s="31">
        <f t="shared" si="13"/>
        <v>22228921.18999999</v>
      </c>
      <c r="N39" s="18">
        <f t="shared" si="14"/>
        <v>3314272.2700000033</v>
      </c>
      <c r="O39" s="18">
        <f t="shared" si="15"/>
        <v>6628544.5400000066</v>
      </c>
      <c r="P39" s="31">
        <f t="shared" si="16"/>
        <v>32171738</v>
      </c>
      <c r="Q39" s="40">
        <v>32171738</v>
      </c>
      <c r="R39" s="42">
        <f t="shared" si="5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18">
        <v>22594.92</v>
      </c>
      <c r="I40" s="18">
        <v>54903.02</v>
      </c>
      <c r="J40" s="18">
        <v>61927.78</v>
      </c>
      <c r="K40" s="18">
        <v>60310.879999999997</v>
      </c>
      <c r="L40" s="18">
        <v>27941.93</v>
      </c>
      <c r="M40" s="31">
        <f t="shared" si="13"/>
        <v>367414.99</v>
      </c>
      <c r="N40" s="18">
        <f t="shared" si="14"/>
        <v>15666.003333333336</v>
      </c>
      <c r="O40" s="18">
        <f t="shared" si="15"/>
        <v>31332.006666666672</v>
      </c>
      <c r="P40" s="31">
        <f t="shared" si="16"/>
        <v>414413</v>
      </c>
      <c r="Q40" s="40">
        <v>414413</v>
      </c>
      <c r="R40" s="42">
        <f t="shared" si="5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1152480.68</v>
      </c>
      <c r="H41" s="18">
        <v>864429.92</v>
      </c>
      <c r="I41" s="18">
        <v>1146246.82</v>
      </c>
      <c r="J41" s="18">
        <v>1010090.34</v>
      </c>
      <c r="K41" s="18">
        <v>1160830.56</v>
      </c>
      <c r="L41" s="18">
        <v>788892.94</v>
      </c>
      <c r="M41" s="31">
        <f t="shared" si="13"/>
        <v>8802421.7400000002</v>
      </c>
      <c r="N41" s="18">
        <f t="shared" si="14"/>
        <v>1178906.42</v>
      </c>
      <c r="O41" s="18">
        <f t="shared" si="15"/>
        <v>2357812.84</v>
      </c>
      <c r="P41" s="31">
        <f t="shared" si="16"/>
        <v>12339140.999999998</v>
      </c>
      <c r="Q41" s="40">
        <v>12339141</v>
      </c>
      <c r="R41" s="42">
        <f t="shared" si="5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18">
        <v>1505.18</v>
      </c>
      <c r="I42" s="18">
        <v>16450.96</v>
      </c>
      <c r="J42" s="18">
        <v>32724.59</v>
      </c>
      <c r="K42" s="18">
        <v>13512</v>
      </c>
      <c r="L42" s="18">
        <v>115708.5</v>
      </c>
      <c r="M42" s="31">
        <f t="shared" si="13"/>
        <v>167961.39</v>
      </c>
      <c r="N42" s="18">
        <f t="shared" si="14"/>
        <v>53329.53666666666</v>
      </c>
      <c r="O42" s="18">
        <f t="shared" si="15"/>
        <v>106659.07333333332</v>
      </c>
      <c r="P42" s="31">
        <f t="shared" si="16"/>
        <v>327950</v>
      </c>
      <c r="Q42" s="40">
        <v>327950</v>
      </c>
      <c r="R42" s="42">
        <f t="shared" si="5"/>
        <v>0</v>
      </c>
    </row>
    <row r="43" spans="1:18" s="1" customFormat="1" ht="19.7" customHeight="1" x14ac:dyDescent="0.2">
      <c r="A43" s="49" t="s">
        <v>126</v>
      </c>
      <c r="B43" s="49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31">
        <f t="shared" si="13"/>
        <v>1750000</v>
      </c>
      <c r="N43" s="18">
        <v>0</v>
      </c>
      <c r="O43" s="18">
        <v>0</v>
      </c>
      <c r="P43" s="31"/>
      <c r="Q43" s="40"/>
      <c r="R43" s="42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18">
        <v>347578.42</v>
      </c>
      <c r="I44" s="18">
        <v>-345157.14</v>
      </c>
      <c r="J44" s="18">
        <v>-317000.7</v>
      </c>
      <c r="K44" s="18">
        <v>0</v>
      </c>
      <c r="L44" s="18">
        <v>0</v>
      </c>
      <c r="M44" s="31">
        <f t="shared" si="13"/>
        <v>5.8207660913467407E-11</v>
      </c>
      <c r="N44" s="18">
        <v>0</v>
      </c>
      <c r="O44" s="18">
        <v>0</v>
      </c>
      <c r="P44" s="31">
        <f>SUM(C44:O44)-M44</f>
        <v>5.8207660913467407E-11</v>
      </c>
      <c r="Q44" s="40">
        <v>0</v>
      </c>
      <c r="R44" s="42">
        <f>P44-Q44</f>
        <v>5.8207660913467407E-11</v>
      </c>
    </row>
    <row r="45" spans="1:18" s="1" customFormat="1" ht="19.7" customHeight="1" thickBot="1" x14ac:dyDescent="0.25">
      <c r="A45" s="8" t="s">
        <v>40</v>
      </c>
      <c r="B45" s="11"/>
      <c r="C45" s="19">
        <f t="shared" ref="C45:L45" si="17">SUM(C37:C44)</f>
        <v>1369828.38</v>
      </c>
      <c r="D45" s="19">
        <f t="shared" si="17"/>
        <v>6080445.1800000006</v>
      </c>
      <c r="E45" s="19">
        <f t="shared" si="17"/>
        <v>5127705.7400000021</v>
      </c>
      <c r="F45" s="19">
        <f t="shared" si="17"/>
        <v>9974039.2999999896</v>
      </c>
      <c r="G45" s="19">
        <f t="shared" si="17"/>
        <v>11441389.970000001</v>
      </c>
      <c r="H45" s="19">
        <f t="shared" si="17"/>
        <v>10990956.67</v>
      </c>
      <c r="I45" s="19">
        <f t="shared" ref="I45" si="18">SUM(I37:I44)</f>
        <v>10748258.16</v>
      </c>
      <c r="J45" s="19">
        <f t="shared" ref="J45:K45" si="19">SUM(J37:J44)</f>
        <v>11057166.029999999</v>
      </c>
      <c r="K45" s="19">
        <f t="shared" si="19"/>
        <v>10381239.530000001</v>
      </c>
      <c r="L45" s="19">
        <f t="shared" si="17"/>
        <v>11349953.380000001</v>
      </c>
      <c r="M45" s="31">
        <f t="shared" si="13"/>
        <v>88520982.339999989</v>
      </c>
      <c r="N45" s="19">
        <f t="shared" ref="N45:O45" si="20">SUM(N37:N44)</f>
        <v>10026501.220000004</v>
      </c>
      <c r="O45" s="19">
        <f t="shared" si="20"/>
        <v>20053002.440000009</v>
      </c>
      <c r="P45" s="32">
        <f>SUM(P37:P44)</f>
        <v>116850486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30"/>
      <c r="N46" s="17"/>
      <c r="O46" s="17"/>
      <c r="P46" s="30"/>
    </row>
    <row r="47" spans="1:18" s="1" customFormat="1" ht="19.7" customHeight="1" x14ac:dyDescent="0.2">
      <c r="A47" s="3" t="s">
        <v>41</v>
      </c>
      <c r="B47" s="5"/>
      <c r="C47" s="16">
        <f t="shared" ref="C47:O47" si="21">C35-C45</f>
        <v>3672284.8500000006</v>
      </c>
      <c r="D47" s="16">
        <f t="shared" si="21"/>
        <v>1640437.4699999997</v>
      </c>
      <c r="E47" s="16">
        <f t="shared" si="21"/>
        <v>12799440.179999996</v>
      </c>
      <c r="F47" s="16">
        <f t="shared" si="21"/>
        <v>-4733807.1499999892</v>
      </c>
      <c r="G47" s="16">
        <f t="shared" si="21"/>
        <v>-5131282.1400000006</v>
      </c>
      <c r="H47" s="16">
        <f t="shared" si="21"/>
        <v>1532234.3499999996</v>
      </c>
      <c r="I47" s="16">
        <f t="shared" si="21"/>
        <v>-3422359.7</v>
      </c>
      <c r="J47" s="16">
        <f t="shared" ref="J47:K47" si="22">J35-J45</f>
        <v>-4608040.8299999991</v>
      </c>
      <c r="K47" s="16">
        <f t="shared" si="22"/>
        <v>3223319.9000000004</v>
      </c>
      <c r="L47" s="16">
        <f t="shared" si="21"/>
        <v>-2734451.2000000011</v>
      </c>
      <c r="M47" s="33">
        <f t="shared" si="21"/>
        <v>2237775.7300000042</v>
      </c>
      <c r="N47" s="16">
        <f t="shared" si="21"/>
        <v>5476079.7449999992</v>
      </c>
      <c r="O47" s="16">
        <f t="shared" si="21"/>
        <v>-4550421.4750000052</v>
      </c>
      <c r="P47" s="26">
        <f>SUM(C47:O47)-M47</f>
        <v>3163434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30"/>
      <c r="N48" s="17"/>
      <c r="O48" s="17"/>
      <c r="P48" s="30"/>
    </row>
    <row r="49" spans="1:16" s="1" customFormat="1" ht="19.7" hidden="1" customHeight="1" x14ac:dyDescent="0.2">
      <c r="A49" s="67" t="s">
        <v>42</v>
      </c>
      <c r="B49" s="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30"/>
      <c r="N49" s="17"/>
      <c r="O49" s="17"/>
      <c r="P49" s="30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31"/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18">
        <v>-1523150.5</v>
      </c>
      <c r="I51" s="18">
        <v>-323565.33</v>
      </c>
      <c r="J51" s="18">
        <v>671521.86</v>
      </c>
      <c r="K51" s="18">
        <v>462943.8</v>
      </c>
      <c r="L51" s="18">
        <v>-490672.43</v>
      </c>
      <c r="M51" s="31"/>
      <c r="N51" s="18">
        <v>0</v>
      </c>
      <c r="O51" s="18">
        <v>0</v>
      </c>
      <c r="P51" s="30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18">
        <v>238941.87</v>
      </c>
      <c r="I52" s="18">
        <v>8862.58</v>
      </c>
      <c r="J52" s="18">
        <v>-138844.93</v>
      </c>
      <c r="K52" s="18">
        <v>76052.47</v>
      </c>
      <c r="L52" s="18">
        <v>33745.46</v>
      </c>
      <c r="M52" s="31"/>
      <c r="N52" s="18">
        <v>0</v>
      </c>
      <c r="O52" s="18">
        <v>0</v>
      </c>
      <c r="P52" s="30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31"/>
      <c r="N53" s="18">
        <v>0</v>
      </c>
      <c r="O53" s="18">
        <v>0</v>
      </c>
      <c r="P53" s="30"/>
    </row>
    <row r="54" spans="1:16" s="1" customFormat="1" ht="19.7" hidden="1" customHeight="1" x14ac:dyDescent="0.2">
      <c r="A54" s="67" t="s">
        <v>51</v>
      </c>
      <c r="B54" s="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31"/>
      <c r="N54" s="17"/>
      <c r="O54" s="17"/>
      <c r="P54" s="30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31"/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180442.13</v>
      </c>
      <c r="H56" s="18">
        <v>419586.19000000099</v>
      </c>
      <c r="I56" s="18">
        <v>-73969.31</v>
      </c>
      <c r="J56" s="18">
        <v>219568.78</v>
      </c>
      <c r="K56" s="18">
        <v>245451.72000000099</v>
      </c>
      <c r="L56" s="18">
        <v>140925.59</v>
      </c>
      <c r="M56" s="31"/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-94198.96</v>
      </c>
      <c r="H57" s="18">
        <v>1857392.91</v>
      </c>
      <c r="I57" s="18">
        <v>404461.11</v>
      </c>
      <c r="J57" s="18">
        <v>140927.97</v>
      </c>
      <c r="K57" s="18">
        <v>-282345.87</v>
      </c>
      <c r="L57" s="18">
        <v>690340.69</v>
      </c>
      <c r="M57" s="31"/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31"/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31"/>
      <c r="N59" s="18">
        <v>0</v>
      </c>
      <c r="O59" s="18">
        <v>0</v>
      </c>
      <c r="P59" s="30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31"/>
      <c r="N60" s="18">
        <v>0</v>
      </c>
      <c r="O60" s="18">
        <v>0</v>
      </c>
      <c r="P60" s="30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31"/>
      <c r="N61" s="18">
        <v>0</v>
      </c>
      <c r="O61" s="18">
        <v>0</v>
      </c>
      <c r="P61" s="30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31"/>
      <c r="N62" s="18">
        <v>0</v>
      </c>
      <c r="O62" s="18">
        <v>0</v>
      </c>
      <c r="P62" s="30"/>
    </row>
    <row r="63" spans="1:16" s="1" customFormat="1" ht="19.7" hidden="1" customHeight="1" thickBot="1" x14ac:dyDescent="0.25">
      <c r="A63" s="8" t="s">
        <v>66</v>
      </c>
      <c r="B63" s="11"/>
      <c r="C63" s="19">
        <f t="shared" ref="C63:L63" si="23">SUM(C50:C62)</f>
        <v>-10071021.609999999</v>
      </c>
      <c r="D63" s="19">
        <f t="shared" si="23"/>
        <v>-2775027.34</v>
      </c>
      <c r="E63" s="19">
        <f t="shared" si="23"/>
        <v>206991.87</v>
      </c>
      <c r="F63" s="19">
        <f t="shared" si="23"/>
        <v>1193721</v>
      </c>
      <c r="G63" s="19">
        <f t="shared" si="23"/>
        <v>279063.77</v>
      </c>
      <c r="H63" s="19">
        <f t="shared" si="23"/>
        <v>992770.47000000102</v>
      </c>
      <c r="I63" s="19">
        <f t="shared" si="23"/>
        <v>15789.049999999988</v>
      </c>
      <c r="J63" s="19">
        <f t="shared" ref="J63:K63" si="24">SUM(J50:J62)</f>
        <v>893173.67999999993</v>
      </c>
      <c r="K63" s="19">
        <f t="shared" si="24"/>
        <v>502102.12000000104</v>
      </c>
      <c r="L63" s="19">
        <f t="shared" si="23"/>
        <v>374339.30999999994</v>
      </c>
      <c r="M63" s="32"/>
      <c r="N63" s="19">
        <v>-1200000</v>
      </c>
      <c r="O63" s="19">
        <v>-1200000</v>
      </c>
      <c r="P63" s="38"/>
    </row>
    <row r="64" spans="1:16" s="1" customFormat="1" ht="18.2" hidden="1" customHeight="1" x14ac:dyDescent="0.2">
      <c r="A64" s="6"/>
      <c r="B64" s="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30"/>
      <c r="N64" s="17"/>
      <c r="O64" s="17"/>
      <c r="P64" s="30"/>
    </row>
    <row r="65" spans="1:16" s="1" customFormat="1" ht="19.7" customHeight="1" thickBot="1" x14ac:dyDescent="0.25">
      <c r="A65" s="13" t="s">
        <v>67</v>
      </c>
      <c r="B65" s="14"/>
      <c r="C65" s="20">
        <f t="shared" ref="C65:G65" si="25">C3+C47+C63</f>
        <v>17276325.860000003</v>
      </c>
      <c r="D65" s="20">
        <f t="shared" si="25"/>
        <v>16141735.990000002</v>
      </c>
      <c r="E65" s="20">
        <f t="shared" si="25"/>
        <v>29148168.039999999</v>
      </c>
      <c r="F65" s="20">
        <f t="shared" si="25"/>
        <v>25608081.890000008</v>
      </c>
      <c r="G65" s="20">
        <f t="shared" si="25"/>
        <v>20755863.520000007</v>
      </c>
      <c r="H65" s="20">
        <f>H3+H47+H63</f>
        <v>23280868.340000007</v>
      </c>
      <c r="I65" s="20">
        <f>I3+I47+I63</f>
        <v>19874297.690000009</v>
      </c>
      <c r="J65" s="20">
        <f>J3+J47+J63</f>
        <v>16159430.54000001</v>
      </c>
      <c r="K65" s="20">
        <f>K3+K47+K63</f>
        <v>19884852.560000014</v>
      </c>
      <c r="L65" s="20">
        <f>L3+L47+L63</f>
        <v>17524740.670000013</v>
      </c>
      <c r="M65" s="34"/>
      <c r="N65" s="20">
        <f t="shared" ref="N65" si="26">N3+N47+N63</f>
        <v>21800820.415000014</v>
      </c>
      <c r="O65" s="20">
        <f>O3+O47+O63</f>
        <v>16050398.940000009</v>
      </c>
      <c r="P65" s="39"/>
    </row>
    <row r="66" spans="1:16" s="1" customFormat="1" ht="28.7" customHeight="1" x14ac:dyDescent="0.2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35"/>
      <c r="N66" s="21"/>
      <c r="O66" s="21"/>
      <c r="P66" s="21"/>
    </row>
  </sheetData>
  <sheetProtection algorithmName="SHA-512" hashValue="F9EGrT9f+3ltOxJHkfgQt8kn2+/ohYD9pHbTv1zmg709eFuOaz4uOciyUubY4XRexWtQkDNQhiO1wK5k71qRiA==" saltValue="bu6T5cPmQXLThioR0rUisQ==" spinCount="100000" sheet="1" objects="1" scenarios="1"/>
  <mergeCells count="1">
    <mergeCell ref="A1:B1"/>
  </mergeCells>
  <pageMargins left="0.7" right="0.7" top="0.75" bottom="0.75" header="0.3" footer="0.3"/>
  <pageSetup paperSize="9" scale="3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303C6-DB62-451C-BDEB-03340F7B4459}">
  <sheetPr>
    <pageSetUpPr fitToPage="1"/>
  </sheetPr>
  <dimension ref="A1:R6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8" sqref="C8"/>
    </sheetView>
  </sheetViews>
  <sheetFormatPr defaultRowHeight="12.75" x14ac:dyDescent="0.2"/>
  <cols>
    <col min="1" max="1" width="35.5703125" customWidth="1"/>
    <col min="2" max="2" width="20" customWidth="1"/>
    <col min="3" max="10" width="20" style="22" customWidth="1"/>
    <col min="11" max="11" width="22.42578125" style="36" bestFit="1" customWidth="1"/>
    <col min="12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9" t="s">
        <v>0</v>
      </c>
      <c r="B1" s="69"/>
      <c r="C1" s="27"/>
      <c r="D1" s="27"/>
      <c r="E1" s="27" t="s">
        <v>1</v>
      </c>
      <c r="F1" s="27"/>
      <c r="G1" s="27"/>
      <c r="H1" s="27"/>
      <c r="I1" s="27"/>
      <c r="J1" s="27"/>
      <c r="K1" s="29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  <c r="K2" s="25" t="s">
        <v>16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 t="shared" ref="D3:G3" si="0">C65</f>
        <v>17276325.860000003</v>
      </c>
      <c r="E3" s="16">
        <f t="shared" si="0"/>
        <v>16141735.990000002</v>
      </c>
      <c r="F3" s="16">
        <f t="shared" si="0"/>
        <v>29148168.039999999</v>
      </c>
      <c r="G3" s="16">
        <f t="shared" si="0"/>
        <v>25608081.890000008</v>
      </c>
      <c r="H3" s="16">
        <f>G65</f>
        <v>20755863.520000007</v>
      </c>
      <c r="I3" s="16">
        <f>H65</f>
        <v>23280868.340000007</v>
      </c>
      <c r="J3" s="16">
        <f>I65</f>
        <v>19874297.690000009</v>
      </c>
      <c r="K3" s="50" t="s">
        <v>132</v>
      </c>
      <c r="L3" s="16">
        <f>J65</f>
        <v>16159430.54000001</v>
      </c>
      <c r="M3" s="16">
        <f>L65</f>
        <v>17941246.861000009</v>
      </c>
      <c r="N3" s="16">
        <f t="shared" ref="N3:O3" si="1">M65</f>
        <v>19723063.182000011</v>
      </c>
      <c r="O3" s="16">
        <f t="shared" si="1"/>
        <v>21504879.503000014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17"/>
      <c r="I4" s="17"/>
      <c r="J4" s="17"/>
      <c r="K4" s="30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18">
        <v>0</v>
      </c>
      <c r="I5" s="18">
        <v>0</v>
      </c>
      <c r="J5" s="18">
        <v>0</v>
      </c>
      <c r="K5" s="31">
        <f t="shared" ref="K5:K16" si="2">SUM(C5:J5)</f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1" si="3">SUM(C5:O5)-K5</f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28">
        <v>2773191</v>
      </c>
      <c r="I6" s="28">
        <v>6488557</v>
      </c>
      <c r="J6" s="28">
        <v>5511785</v>
      </c>
      <c r="K6" s="31">
        <f t="shared" si="2"/>
        <v>40841521</v>
      </c>
      <c r="L6" s="28">
        <f t="shared" ref="L6:O16" si="4">($Q6-$K6)/4</f>
        <v>10996594</v>
      </c>
      <c r="M6" s="28">
        <f t="shared" si="4"/>
        <v>10996594</v>
      </c>
      <c r="N6" s="28">
        <f t="shared" si="4"/>
        <v>10996594</v>
      </c>
      <c r="O6" s="28">
        <f t="shared" si="4"/>
        <v>10996594</v>
      </c>
      <c r="P6" s="31">
        <f t="shared" si="3"/>
        <v>84827897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28">
        <v>89675</v>
      </c>
      <c r="I7" s="28">
        <v>143481</v>
      </c>
      <c r="J7" s="28">
        <v>143481</v>
      </c>
      <c r="K7" s="31">
        <f t="shared" si="2"/>
        <v>1219588</v>
      </c>
      <c r="L7" s="28">
        <f t="shared" si="4"/>
        <v>143481</v>
      </c>
      <c r="M7" s="28">
        <f t="shared" si="4"/>
        <v>143481</v>
      </c>
      <c r="N7" s="28">
        <f t="shared" si="4"/>
        <v>143481</v>
      </c>
      <c r="O7" s="28">
        <f t="shared" si="4"/>
        <v>143481</v>
      </c>
      <c r="P7" s="31">
        <f t="shared" si="3"/>
        <v>1793512</v>
      </c>
      <c r="Q7" s="40">
        <v>1793512</v>
      </c>
      <c r="R7" s="42">
        <f t="shared" ref="R7:R42" si="5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28">
        <v>0</v>
      </c>
      <c r="I8" s="28">
        <v>0</v>
      </c>
      <c r="J8" s="28">
        <v>-903451</v>
      </c>
      <c r="K8" s="31">
        <f t="shared" si="2"/>
        <v>9141528</v>
      </c>
      <c r="L8" s="28">
        <f t="shared" si="4"/>
        <v>-2285382</v>
      </c>
      <c r="M8" s="28">
        <f t="shared" si="4"/>
        <v>-2285382</v>
      </c>
      <c r="N8" s="28">
        <f t="shared" si="4"/>
        <v>-2285382</v>
      </c>
      <c r="O8" s="28">
        <f t="shared" si="4"/>
        <v>-2285382</v>
      </c>
      <c r="P8" s="31">
        <f t="shared" si="3"/>
        <v>0</v>
      </c>
      <c r="Q8" s="40">
        <v>0</v>
      </c>
      <c r="R8" s="42">
        <f t="shared" si="5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28">
        <v>16008</v>
      </c>
      <c r="I9" s="28">
        <v>25614</v>
      </c>
      <c r="J9" s="28">
        <v>15149</v>
      </c>
      <c r="K9" s="31">
        <f t="shared" si="2"/>
        <v>207251</v>
      </c>
      <c r="L9" s="28">
        <f t="shared" si="4"/>
        <v>25687.25</v>
      </c>
      <c r="M9" s="28">
        <f t="shared" si="4"/>
        <v>25687.25</v>
      </c>
      <c r="N9" s="28">
        <f t="shared" si="4"/>
        <v>25687.25</v>
      </c>
      <c r="O9" s="28">
        <f t="shared" si="4"/>
        <v>25687.25</v>
      </c>
      <c r="P9" s="31">
        <f t="shared" si="3"/>
        <v>310000</v>
      </c>
      <c r="Q9" s="40">
        <v>310000</v>
      </c>
      <c r="R9" s="42">
        <f t="shared" si="5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353277</v>
      </c>
      <c r="K10" s="31">
        <f t="shared" si="2"/>
        <v>353277</v>
      </c>
      <c r="L10" s="28">
        <f t="shared" si="4"/>
        <v>-819.25</v>
      </c>
      <c r="M10" s="28">
        <f t="shared" si="4"/>
        <v>-819.25</v>
      </c>
      <c r="N10" s="28">
        <f t="shared" si="4"/>
        <v>-819.25</v>
      </c>
      <c r="O10" s="28">
        <f t="shared" si="4"/>
        <v>-819.25</v>
      </c>
      <c r="P10" s="31">
        <f t="shared" si="3"/>
        <v>350000</v>
      </c>
      <c r="Q10" s="40">
        <v>350000</v>
      </c>
      <c r="R10" s="42">
        <f t="shared" si="5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28">
        <v>6967</v>
      </c>
      <c r="I11" s="28">
        <v>11146</v>
      </c>
      <c r="J11" s="28">
        <v>11147</v>
      </c>
      <c r="K11" s="31">
        <f t="shared" si="2"/>
        <v>94746</v>
      </c>
      <c r="L11" s="28">
        <f t="shared" si="4"/>
        <v>13813.5</v>
      </c>
      <c r="M11" s="28">
        <f t="shared" si="4"/>
        <v>13813.5</v>
      </c>
      <c r="N11" s="28">
        <f t="shared" si="4"/>
        <v>13813.5</v>
      </c>
      <c r="O11" s="28">
        <f t="shared" si="4"/>
        <v>13813.5</v>
      </c>
      <c r="P11" s="31">
        <f t="shared" si="3"/>
        <v>150000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2051453</v>
      </c>
      <c r="I12" s="28">
        <v>-2051453</v>
      </c>
      <c r="J12" s="28">
        <v>20284</v>
      </c>
      <c r="K12" s="31">
        <f t="shared" si="2"/>
        <v>20284</v>
      </c>
      <c r="L12" s="28">
        <f t="shared" si="4"/>
        <v>1429</v>
      </c>
      <c r="M12" s="28">
        <f t="shared" si="4"/>
        <v>1429</v>
      </c>
      <c r="N12" s="28">
        <f t="shared" si="4"/>
        <v>1429</v>
      </c>
      <c r="O12" s="28">
        <f t="shared" si="4"/>
        <v>1429</v>
      </c>
      <c r="P12" s="31">
        <f t="shared" si="3"/>
        <v>26000</v>
      </c>
      <c r="Q12" s="40">
        <v>26000</v>
      </c>
      <c r="R12" s="42">
        <f t="shared" si="5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8231.5</v>
      </c>
      <c r="I13" s="28">
        <v>19206.830000000002</v>
      </c>
      <c r="J13" s="28">
        <v>0</v>
      </c>
      <c r="K13" s="31">
        <f t="shared" si="2"/>
        <v>27438.33</v>
      </c>
      <c r="L13" s="28">
        <f t="shared" si="4"/>
        <v>-6859.5825000000004</v>
      </c>
      <c r="M13" s="28">
        <f t="shared" si="4"/>
        <v>-6859.5825000000004</v>
      </c>
      <c r="N13" s="28">
        <f t="shared" si="4"/>
        <v>-6859.5825000000004</v>
      </c>
      <c r="O13" s="28">
        <f t="shared" si="4"/>
        <v>-6859.5825000000004</v>
      </c>
      <c r="P13" s="31">
        <f t="shared" si="3"/>
        <v>0</v>
      </c>
      <c r="Q13" s="40">
        <v>0</v>
      </c>
      <c r="R13" s="42">
        <f t="shared" si="5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28">
        <v>1199709.76</v>
      </c>
      <c r="I14" s="28">
        <v>0</v>
      </c>
      <c r="J14" s="28">
        <v>0</v>
      </c>
      <c r="K14" s="31">
        <f t="shared" si="2"/>
        <v>1300498.7000000002</v>
      </c>
      <c r="L14" s="28">
        <f t="shared" si="4"/>
        <v>299875.32499999995</v>
      </c>
      <c r="M14" s="28">
        <f t="shared" si="4"/>
        <v>299875.32499999995</v>
      </c>
      <c r="N14" s="28">
        <f t="shared" si="4"/>
        <v>299875.32499999995</v>
      </c>
      <c r="O14" s="28">
        <f t="shared" si="4"/>
        <v>299875.32499999995</v>
      </c>
      <c r="P14" s="31">
        <f t="shared" si="3"/>
        <v>2500000.0000000009</v>
      </c>
      <c r="Q14" s="40">
        <v>2500000</v>
      </c>
      <c r="R14" s="42">
        <f t="shared" si="5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31">
        <f t="shared" si="2"/>
        <v>0</v>
      </c>
      <c r="L15" s="28">
        <f t="shared" si="4"/>
        <v>0</v>
      </c>
      <c r="M15" s="28">
        <f t="shared" si="4"/>
        <v>0</v>
      </c>
      <c r="N15" s="28">
        <f t="shared" si="4"/>
        <v>0</v>
      </c>
      <c r="O15" s="28">
        <f t="shared" si="4"/>
        <v>0</v>
      </c>
      <c r="P15" s="31">
        <f t="shared" si="3"/>
        <v>0</v>
      </c>
      <c r="Q15" s="40">
        <v>0</v>
      </c>
      <c r="R15" s="42">
        <f t="shared" si="5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28">
        <v>0</v>
      </c>
      <c r="I16" s="28">
        <v>0</v>
      </c>
      <c r="J16" s="28">
        <v>0</v>
      </c>
      <c r="K16" s="31">
        <f t="shared" si="2"/>
        <v>478796</v>
      </c>
      <c r="L16" s="28">
        <f t="shared" si="4"/>
        <v>-7199</v>
      </c>
      <c r="M16" s="28">
        <f t="shared" si="4"/>
        <v>-7199</v>
      </c>
      <c r="N16" s="28">
        <f t="shared" si="4"/>
        <v>-7199</v>
      </c>
      <c r="O16" s="28">
        <f t="shared" si="4"/>
        <v>-7199</v>
      </c>
      <c r="P16" s="31">
        <f t="shared" si="3"/>
        <v>450000</v>
      </c>
      <c r="Q16" s="40">
        <v>450000</v>
      </c>
      <c r="R16" s="42">
        <f t="shared" si="5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v>4617346</v>
      </c>
      <c r="D17" s="18">
        <v>4617345</v>
      </c>
      <c r="E17" s="18">
        <v>17659330.199999999</v>
      </c>
      <c r="F17" s="18">
        <v>5184138.74</v>
      </c>
      <c r="G17" s="18">
        <v>5673309</v>
      </c>
      <c r="H17" s="18">
        <v>6145235.2599999998</v>
      </c>
      <c r="I17" s="18">
        <v>4636551.83</v>
      </c>
      <c r="J17" s="18">
        <v>5151672</v>
      </c>
      <c r="K17" s="31">
        <f>SUM(K6:K16)</f>
        <v>53684928.030000001</v>
      </c>
      <c r="L17" s="18">
        <f t="shared" ref="L17:O17" si="6">SUM(L6:L16)</f>
        <v>9180620.2424999997</v>
      </c>
      <c r="M17" s="18">
        <f t="shared" si="6"/>
        <v>9180620.2424999997</v>
      </c>
      <c r="N17" s="18">
        <f t="shared" si="6"/>
        <v>9180620.2424999997</v>
      </c>
      <c r="O17" s="18">
        <f t="shared" si="6"/>
        <v>9180620.2424999997</v>
      </c>
      <c r="P17" s="31">
        <f t="shared" si="3"/>
        <v>90407409.00000003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5657380.1799999997</v>
      </c>
      <c r="I18" s="28">
        <v>1414345.04</v>
      </c>
      <c r="J18" s="28">
        <v>792950.26</v>
      </c>
      <c r="K18" s="31">
        <f t="shared" ref="K18:K31" si="7">SUM(C18:J18)</f>
        <v>7864675.4799999995</v>
      </c>
      <c r="L18" s="28">
        <f t="shared" ref="L18:O31" si="8">($Q18-$K18)/4</f>
        <v>1533831.1300000001</v>
      </c>
      <c r="M18" s="28">
        <f t="shared" si="8"/>
        <v>1533831.1300000001</v>
      </c>
      <c r="N18" s="28">
        <f t="shared" si="8"/>
        <v>1533831.1300000001</v>
      </c>
      <c r="O18" s="28">
        <f t="shared" si="8"/>
        <v>1533831.1300000001</v>
      </c>
      <c r="P18" s="31">
        <f t="shared" si="3"/>
        <v>13999999.999999996</v>
      </c>
      <c r="Q18" s="40">
        <v>14000000</v>
      </c>
      <c r="R18" s="42">
        <f t="shared" si="5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28">
        <v>2325.27</v>
      </c>
      <c r="I19" s="28">
        <v>28490.65</v>
      </c>
      <c r="J19" s="28">
        <v>35489.11</v>
      </c>
      <c r="K19" s="31">
        <f t="shared" si="7"/>
        <v>198787.63999999996</v>
      </c>
      <c r="L19" s="28">
        <f t="shared" si="8"/>
        <v>20303.090000000011</v>
      </c>
      <c r="M19" s="28">
        <f t="shared" si="8"/>
        <v>20303.090000000011</v>
      </c>
      <c r="N19" s="28">
        <f t="shared" si="8"/>
        <v>20303.090000000011</v>
      </c>
      <c r="O19" s="28">
        <f t="shared" si="8"/>
        <v>20303.090000000011</v>
      </c>
      <c r="P19" s="31">
        <f t="shared" si="3"/>
        <v>280000.00000000006</v>
      </c>
      <c r="Q19" s="40">
        <v>280000</v>
      </c>
      <c r="R19" s="42">
        <f t="shared" si="5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28">
        <v>0</v>
      </c>
      <c r="I20" s="28">
        <v>0</v>
      </c>
      <c r="J20" s="28">
        <v>0</v>
      </c>
      <c r="K20" s="31">
        <f t="shared" si="7"/>
        <v>410264.3</v>
      </c>
      <c r="L20" s="28">
        <f t="shared" si="8"/>
        <v>-47566.074999999997</v>
      </c>
      <c r="M20" s="28">
        <f t="shared" si="8"/>
        <v>-47566.074999999997</v>
      </c>
      <c r="N20" s="28">
        <f t="shared" si="8"/>
        <v>-47566.074999999997</v>
      </c>
      <c r="O20" s="28">
        <f t="shared" si="8"/>
        <v>-47566.074999999997</v>
      </c>
      <c r="P20" s="31">
        <f t="shared" si="3"/>
        <v>220000.00000000017</v>
      </c>
      <c r="Q20" s="40">
        <v>220000</v>
      </c>
      <c r="R20" s="42">
        <f t="shared" si="5"/>
        <v>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28">
        <v>92907.790000000008</v>
      </c>
      <c r="I21" s="28">
        <v>800.32</v>
      </c>
      <c r="J21" s="28">
        <v>-105385.18</v>
      </c>
      <c r="K21" s="31">
        <f t="shared" si="7"/>
        <v>380455.48</v>
      </c>
      <c r="L21" s="28">
        <f t="shared" si="8"/>
        <v>-45113.869999999995</v>
      </c>
      <c r="M21" s="28">
        <f t="shared" si="8"/>
        <v>-45113.869999999995</v>
      </c>
      <c r="N21" s="28">
        <f t="shared" si="8"/>
        <v>-45113.869999999995</v>
      </c>
      <c r="O21" s="28">
        <f t="shared" si="8"/>
        <v>-45113.869999999995</v>
      </c>
      <c r="P21" s="31">
        <f t="shared" si="3"/>
        <v>200000</v>
      </c>
      <c r="Q21" s="40">
        <v>200000</v>
      </c>
      <c r="R21" s="42">
        <f t="shared" si="5"/>
        <v>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28">
        <v>427171.94</v>
      </c>
      <c r="I22" s="28">
        <v>0</v>
      </c>
      <c r="J22" s="28">
        <v>250323.67</v>
      </c>
      <c r="K22" s="31">
        <f t="shared" si="7"/>
        <v>754113.16</v>
      </c>
      <c r="L22" s="28">
        <f t="shared" si="8"/>
        <v>1936471.71</v>
      </c>
      <c r="M22" s="28">
        <f t="shared" si="8"/>
        <v>1936471.71</v>
      </c>
      <c r="N22" s="28">
        <f t="shared" si="8"/>
        <v>1936471.71</v>
      </c>
      <c r="O22" s="28">
        <f t="shared" si="8"/>
        <v>1936471.71</v>
      </c>
      <c r="P22" s="31">
        <f t="shared" si="3"/>
        <v>8500000</v>
      </c>
      <c r="Q22" s="40">
        <v>8500000</v>
      </c>
      <c r="R22" s="42">
        <f t="shared" si="5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1085599.1100000001</v>
      </c>
      <c r="J23" s="28">
        <v>0</v>
      </c>
      <c r="K23" s="31">
        <f t="shared" si="7"/>
        <v>1085599.1100000001</v>
      </c>
      <c r="L23" s="28">
        <f t="shared" si="8"/>
        <v>196274.22249999997</v>
      </c>
      <c r="M23" s="28">
        <f t="shared" si="8"/>
        <v>196274.22249999997</v>
      </c>
      <c r="N23" s="28">
        <f t="shared" si="8"/>
        <v>196274.22249999997</v>
      </c>
      <c r="O23" s="28">
        <f t="shared" si="8"/>
        <v>196274.22249999997</v>
      </c>
      <c r="P23" s="31">
        <f t="shared" si="3"/>
        <v>1870696.0000000007</v>
      </c>
      <c r="Q23" s="40">
        <v>1870696</v>
      </c>
      <c r="R23" s="42">
        <f t="shared" si="5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28">
        <v>10</v>
      </c>
      <c r="I24" s="28">
        <v>5</v>
      </c>
      <c r="J24" s="28">
        <v>5</v>
      </c>
      <c r="K24" s="31">
        <f t="shared" si="7"/>
        <v>45</v>
      </c>
      <c r="L24" s="28">
        <f t="shared" si="8"/>
        <v>-11.25</v>
      </c>
      <c r="M24" s="28">
        <f t="shared" si="8"/>
        <v>-11.25</v>
      </c>
      <c r="N24" s="28">
        <f t="shared" si="8"/>
        <v>-11.25</v>
      </c>
      <c r="O24" s="28">
        <f t="shared" si="8"/>
        <v>-11.25</v>
      </c>
      <c r="P24" s="31">
        <f t="shared" si="3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28">
        <v>3807</v>
      </c>
      <c r="I25" s="28">
        <v>640</v>
      </c>
      <c r="J25" s="28">
        <v>1513.4</v>
      </c>
      <c r="K25" s="31">
        <f t="shared" si="7"/>
        <v>18549.2</v>
      </c>
      <c r="L25" s="28">
        <f t="shared" si="8"/>
        <v>362.70000000000073</v>
      </c>
      <c r="M25" s="28">
        <f t="shared" si="8"/>
        <v>362.70000000000073</v>
      </c>
      <c r="N25" s="28">
        <f t="shared" si="8"/>
        <v>362.70000000000073</v>
      </c>
      <c r="O25" s="28">
        <f t="shared" si="8"/>
        <v>362.70000000000073</v>
      </c>
      <c r="P25" s="31">
        <f t="shared" si="3"/>
        <v>19999.999999999996</v>
      </c>
      <c r="Q25" s="40">
        <v>20000.000000000004</v>
      </c>
      <c r="R25" s="42">
        <f t="shared" si="5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28">
        <v>0.06</v>
      </c>
      <c r="I26" s="28">
        <v>0.04</v>
      </c>
      <c r="J26" s="28">
        <v>305321.87</v>
      </c>
      <c r="K26" s="31">
        <f t="shared" si="7"/>
        <v>584761.54</v>
      </c>
      <c r="L26" s="28">
        <f t="shared" si="8"/>
        <v>-121190.38500000001</v>
      </c>
      <c r="M26" s="28">
        <f t="shared" si="8"/>
        <v>-121190.38500000001</v>
      </c>
      <c r="N26" s="28">
        <f t="shared" si="8"/>
        <v>-121190.38500000001</v>
      </c>
      <c r="O26" s="28">
        <f t="shared" si="8"/>
        <v>-121190.38500000001</v>
      </c>
      <c r="P26" s="31">
        <f t="shared" si="3"/>
        <v>100000</v>
      </c>
      <c r="Q26" s="40">
        <v>100000</v>
      </c>
      <c r="R26" s="42">
        <f t="shared" si="5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176868</v>
      </c>
      <c r="J27" s="28">
        <v>0</v>
      </c>
      <c r="K27" s="31">
        <f t="shared" si="7"/>
        <v>176868</v>
      </c>
      <c r="L27" s="28">
        <f t="shared" si="8"/>
        <v>-12967</v>
      </c>
      <c r="M27" s="28">
        <f t="shared" si="8"/>
        <v>-12967</v>
      </c>
      <c r="N27" s="28">
        <f t="shared" si="8"/>
        <v>-12967</v>
      </c>
      <c r="O27" s="28">
        <f t="shared" si="8"/>
        <v>-12967</v>
      </c>
      <c r="P27" s="31">
        <f t="shared" si="3"/>
        <v>125000</v>
      </c>
      <c r="Q27" s="40">
        <v>125000</v>
      </c>
      <c r="R27" s="42">
        <f t="shared" si="5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28">
        <v>37880</v>
      </c>
      <c r="I28" s="28">
        <v>-15080</v>
      </c>
      <c r="J28" s="28">
        <v>-19425</v>
      </c>
      <c r="K28" s="31">
        <f t="shared" si="7"/>
        <v>1090900</v>
      </c>
      <c r="L28" s="28">
        <f t="shared" si="8"/>
        <v>227275</v>
      </c>
      <c r="M28" s="28">
        <f t="shared" si="8"/>
        <v>227275</v>
      </c>
      <c r="N28" s="28">
        <f t="shared" si="8"/>
        <v>227275</v>
      </c>
      <c r="O28" s="28">
        <f t="shared" si="8"/>
        <v>227275</v>
      </c>
      <c r="P28" s="31">
        <f t="shared" si="3"/>
        <v>2000000</v>
      </c>
      <c r="Q28" s="40">
        <v>2000000</v>
      </c>
      <c r="R28" s="42">
        <f t="shared" si="5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28">
        <v>1143.42</v>
      </c>
      <c r="I29" s="28">
        <v>600</v>
      </c>
      <c r="J29" s="28">
        <v>840</v>
      </c>
      <c r="K29" s="31">
        <f t="shared" si="7"/>
        <v>6663.42</v>
      </c>
      <c r="L29" s="28">
        <f t="shared" si="8"/>
        <v>834.14499999999998</v>
      </c>
      <c r="M29" s="28">
        <f t="shared" si="8"/>
        <v>834.14499999999998</v>
      </c>
      <c r="N29" s="28">
        <f t="shared" si="8"/>
        <v>834.14499999999998</v>
      </c>
      <c r="O29" s="28">
        <f t="shared" si="8"/>
        <v>834.14499999999998</v>
      </c>
      <c r="P29" s="31">
        <f t="shared" si="3"/>
        <v>10000.000000000002</v>
      </c>
      <c r="Q29" s="40">
        <v>10000</v>
      </c>
      <c r="R29" s="42">
        <f t="shared" si="5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28">
        <v>110</v>
      </c>
      <c r="I30" s="28">
        <v>9159.9</v>
      </c>
      <c r="J30" s="28">
        <v>9860</v>
      </c>
      <c r="K30" s="31">
        <f t="shared" si="7"/>
        <v>65968.100000000006</v>
      </c>
      <c r="L30" s="28">
        <f t="shared" si="8"/>
        <v>21007.974999999999</v>
      </c>
      <c r="M30" s="28">
        <f t="shared" si="8"/>
        <v>21007.974999999999</v>
      </c>
      <c r="N30" s="28">
        <f t="shared" si="8"/>
        <v>21007.974999999999</v>
      </c>
      <c r="O30" s="28">
        <f t="shared" si="8"/>
        <v>21007.974999999999</v>
      </c>
      <c r="P30" s="31">
        <f t="shared" si="3"/>
        <v>150000.00000000003</v>
      </c>
      <c r="Q30" s="40">
        <v>150000</v>
      </c>
      <c r="R30" s="42">
        <f t="shared" si="5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28">
        <v>66926.960000000006</v>
      </c>
      <c r="I31" s="28">
        <v>-18816.5</v>
      </c>
      <c r="J31" s="28">
        <v>-5886.5</v>
      </c>
      <c r="K31" s="31">
        <f t="shared" si="7"/>
        <v>2044830.46</v>
      </c>
      <c r="L31" s="28">
        <f t="shared" si="8"/>
        <v>464143.38500000001</v>
      </c>
      <c r="M31" s="28">
        <f t="shared" si="8"/>
        <v>464143.38500000001</v>
      </c>
      <c r="N31" s="28">
        <f t="shared" si="8"/>
        <v>464143.38500000001</v>
      </c>
      <c r="O31" s="28">
        <f t="shared" si="8"/>
        <v>464143.38500000001</v>
      </c>
      <c r="P31" s="31">
        <f t="shared" si="3"/>
        <v>3901403.9999999991</v>
      </c>
      <c r="Q31" s="40">
        <v>3901404</v>
      </c>
      <c r="R31" s="42">
        <f t="shared" si="5"/>
        <v>0</v>
      </c>
    </row>
    <row r="32" spans="1:18" s="1" customFormat="1" ht="19.7" customHeight="1" x14ac:dyDescent="0.2">
      <c r="A32" s="47" t="s">
        <v>124</v>
      </c>
      <c r="B32" s="48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28">
        <v>-10</v>
      </c>
      <c r="I32" s="28"/>
      <c r="J32" s="28">
        <v>10</v>
      </c>
      <c r="K32" s="31"/>
      <c r="L32" s="28"/>
      <c r="M32" s="28"/>
      <c r="N32" s="28"/>
      <c r="O32" s="28"/>
      <c r="P32" s="31"/>
      <c r="Q32" s="40"/>
      <c r="R32" s="42"/>
    </row>
    <row r="33" spans="1:18" s="1" customFormat="1" ht="19.7" customHeight="1" x14ac:dyDescent="0.2">
      <c r="A33" s="23" t="s">
        <v>113</v>
      </c>
      <c r="B33" s="24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10537.46</v>
      </c>
      <c r="H33" s="28">
        <v>88303.14</v>
      </c>
      <c r="I33" s="28">
        <v>6735.07</v>
      </c>
      <c r="J33" s="28">
        <v>31836.57</v>
      </c>
      <c r="K33" s="31">
        <f>SUM(C33:J33)</f>
        <v>171277.54</v>
      </c>
      <c r="L33" s="28">
        <f>($Q33-$K33)/4</f>
        <v>-10319.385000000002</v>
      </c>
      <c r="M33" s="28">
        <f>($Q33-$K33)/4</f>
        <v>-10319.385000000002</v>
      </c>
      <c r="N33" s="28">
        <f>($Q33-$K33)/4</f>
        <v>-10319.385000000002</v>
      </c>
      <c r="O33" s="28">
        <f>($Q33-$K33)/4</f>
        <v>-10319.385000000002</v>
      </c>
      <c r="P33" s="31">
        <f>SUM(C33:O33)-K33</f>
        <v>129999.99999999997</v>
      </c>
      <c r="Q33" s="40">
        <v>130000</v>
      </c>
      <c r="R33" s="42">
        <f t="shared" si="5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v>424767.23</v>
      </c>
      <c r="D34" s="18">
        <v>3103537.6500000004</v>
      </c>
      <c r="E34" s="18">
        <v>60252.72</v>
      </c>
      <c r="F34" s="18">
        <v>263656.40999999997</v>
      </c>
      <c r="G34" s="18">
        <v>636798.82999999996</v>
      </c>
      <c r="H34" s="18">
        <v>6377955.7599999998</v>
      </c>
      <c r="I34" s="18">
        <v>2689346.63</v>
      </c>
      <c r="J34" s="18">
        <v>1297453.2</v>
      </c>
      <c r="K34" s="31">
        <f>SUM(K18:K33)</f>
        <v>14853758.43</v>
      </c>
      <c r="L34" s="18">
        <f t="shared" ref="L34:N34" si="9">SUM(L18:L33)</f>
        <v>4163335.392500001</v>
      </c>
      <c r="M34" s="18">
        <f t="shared" si="9"/>
        <v>4163335.392500001</v>
      </c>
      <c r="N34" s="18">
        <f t="shared" si="9"/>
        <v>4163335.392500001</v>
      </c>
      <c r="O34" s="18">
        <f>SUM(O18:O33)</f>
        <v>4163335.392500001</v>
      </c>
      <c r="P34" s="31">
        <f>SUM(C34:O34)-K34</f>
        <v>31507109.999999993</v>
      </c>
      <c r="Q34" s="40"/>
      <c r="R34" s="42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" si="10">F34+F17+F5</f>
        <v>5240232.1500000004</v>
      </c>
      <c r="G35" s="19">
        <f>G34+G17+G5</f>
        <v>6310107.8300000001</v>
      </c>
      <c r="H35" s="19">
        <f>H34+H17+H5</f>
        <v>12523191.02</v>
      </c>
      <c r="I35" s="19">
        <f>I34+I17+I5</f>
        <v>7325898.46</v>
      </c>
      <c r="J35" s="19">
        <f>J34+J17+J5</f>
        <v>6449125.2000000002</v>
      </c>
      <c r="K35" s="31">
        <f>SUM(C35:J35)</f>
        <v>68538696.459999993</v>
      </c>
      <c r="L35" s="19">
        <f t="shared" ref="L35:O35" si="11">L34+L17+L5</f>
        <v>13343955.635000002</v>
      </c>
      <c r="M35" s="19">
        <f t="shared" si="11"/>
        <v>13343955.635000002</v>
      </c>
      <c r="N35" s="19">
        <f t="shared" si="11"/>
        <v>13343955.635000002</v>
      </c>
      <c r="O35" s="19">
        <f t="shared" si="11"/>
        <v>13343955.635000002</v>
      </c>
      <c r="P35" s="32">
        <f>P34+P17+P5</f>
        <v>121914519.00000003</v>
      </c>
      <c r="Q35" s="41"/>
      <c r="R35" s="42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17"/>
      <c r="I36" s="17"/>
      <c r="J36" s="17"/>
      <c r="K36" s="30"/>
      <c r="L36" s="17"/>
      <c r="M36" s="17"/>
      <c r="N36" s="17"/>
      <c r="O36" s="17"/>
      <c r="P36" s="30"/>
      <c r="R36" s="42">
        <f t="shared" si="5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4238406.0999999996</v>
      </c>
      <c r="H37" s="18">
        <v>4562212.7</v>
      </c>
      <c r="I37" s="18">
        <v>5105334.13</v>
      </c>
      <c r="J37" s="18">
        <v>5441568.9900000002</v>
      </c>
      <c r="K37" s="31">
        <f t="shared" ref="K37:K45" si="12">SUM(C37:J37)</f>
        <v>27730430.460000001</v>
      </c>
      <c r="L37" s="18">
        <f t="shared" ref="L37:N42" si="13">($Q37-$K37)/5</f>
        <v>4021166.9079999998</v>
      </c>
      <c r="M37" s="18">
        <f t="shared" si="13"/>
        <v>4021166.9079999998</v>
      </c>
      <c r="N37" s="18">
        <f t="shared" si="13"/>
        <v>4021166.9079999998</v>
      </c>
      <c r="O37" s="18">
        <f t="shared" ref="O37:O42" si="14">($Q37-$K37)/5*2</f>
        <v>8042333.8159999996</v>
      </c>
      <c r="P37" s="31">
        <f t="shared" ref="P37:P42" si="15">SUM(C37:O37)-K37</f>
        <v>47836264.999999993</v>
      </c>
      <c r="Q37" s="40">
        <v>47836265</v>
      </c>
      <c r="R37" s="42">
        <f t="shared" si="5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18">
        <v>1963188.44</v>
      </c>
      <c r="I38" s="18">
        <v>2029692.74</v>
      </c>
      <c r="J38" s="18">
        <v>1856798.83</v>
      </c>
      <c r="K38" s="31">
        <f t="shared" si="12"/>
        <v>13702624.74</v>
      </c>
      <c r="L38" s="18">
        <f t="shared" si="13"/>
        <v>2011670.852</v>
      </c>
      <c r="M38" s="18">
        <f t="shared" si="13"/>
        <v>2011670.852</v>
      </c>
      <c r="N38" s="18">
        <f t="shared" si="13"/>
        <v>2011670.852</v>
      </c>
      <c r="O38" s="18">
        <f t="shared" si="14"/>
        <v>4023341.7039999999</v>
      </c>
      <c r="P38" s="31">
        <f t="shared" si="15"/>
        <v>23760978.999999993</v>
      </c>
      <c r="Q38" s="40">
        <v>23760979</v>
      </c>
      <c r="R38" s="42">
        <f t="shared" si="5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2594100.08</v>
      </c>
      <c r="H39" s="18">
        <v>3229447.09</v>
      </c>
      <c r="I39" s="18">
        <v>2740787.63</v>
      </c>
      <c r="J39" s="18">
        <v>2971056.2</v>
      </c>
      <c r="K39" s="31">
        <f t="shared" si="12"/>
        <v>16436132.919999991</v>
      </c>
      <c r="L39" s="18">
        <f t="shared" si="13"/>
        <v>3147121.0160000017</v>
      </c>
      <c r="M39" s="18">
        <f t="shared" si="13"/>
        <v>3147121.0160000017</v>
      </c>
      <c r="N39" s="18">
        <f t="shared" si="13"/>
        <v>3147121.0160000017</v>
      </c>
      <c r="O39" s="18">
        <f t="shared" si="14"/>
        <v>6294242.0320000034</v>
      </c>
      <c r="P39" s="31">
        <f t="shared" si="15"/>
        <v>32171738.000000004</v>
      </c>
      <c r="Q39" s="40">
        <v>32171738</v>
      </c>
      <c r="R39" s="42">
        <f t="shared" si="5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18">
        <v>22594.92</v>
      </c>
      <c r="I40" s="18">
        <v>54903.02</v>
      </c>
      <c r="J40" s="18">
        <v>61927.78</v>
      </c>
      <c r="K40" s="31">
        <f t="shared" si="12"/>
        <v>279162.18</v>
      </c>
      <c r="L40" s="18">
        <f t="shared" si="13"/>
        <v>27050.164000000001</v>
      </c>
      <c r="M40" s="18">
        <f t="shared" si="13"/>
        <v>27050.164000000001</v>
      </c>
      <c r="N40" s="18">
        <f t="shared" si="13"/>
        <v>27050.164000000001</v>
      </c>
      <c r="O40" s="18">
        <f t="shared" si="14"/>
        <v>54100.328000000001</v>
      </c>
      <c r="P40" s="31">
        <f t="shared" si="15"/>
        <v>414412.99999999994</v>
      </c>
      <c r="Q40" s="40">
        <v>414413</v>
      </c>
      <c r="R40" s="42">
        <f t="shared" si="5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1152480.68</v>
      </c>
      <c r="H41" s="18">
        <v>864429.92</v>
      </c>
      <c r="I41" s="18">
        <v>1146246.82</v>
      </c>
      <c r="J41" s="18">
        <v>1010090.34</v>
      </c>
      <c r="K41" s="31">
        <f t="shared" si="12"/>
        <v>6852698.2400000002</v>
      </c>
      <c r="L41" s="18">
        <f t="shared" si="13"/>
        <v>1097288.5519999999</v>
      </c>
      <c r="M41" s="18">
        <f t="shared" si="13"/>
        <v>1097288.5519999999</v>
      </c>
      <c r="N41" s="18">
        <f t="shared" si="13"/>
        <v>1097288.5519999999</v>
      </c>
      <c r="O41" s="18">
        <f t="shared" si="14"/>
        <v>2194577.1039999998</v>
      </c>
      <c r="P41" s="31">
        <f t="shared" si="15"/>
        <v>12339140.999999998</v>
      </c>
      <c r="Q41" s="40">
        <v>12339141</v>
      </c>
      <c r="R41" s="42">
        <f t="shared" si="5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18">
        <v>1505.18</v>
      </c>
      <c r="I42" s="18">
        <v>16450.96</v>
      </c>
      <c r="J42" s="18">
        <v>32724.59</v>
      </c>
      <c r="K42" s="31">
        <f t="shared" si="12"/>
        <v>38740.89</v>
      </c>
      <c r="L42" s="18">
        <f t="shared" si="13"/>
        <v>57841.822</v>
      </c>
      <c r="M42" s="18">
        <f t="shared" si="13"/>
        <v>57841.822</v>
      </c>
      <c r="N42" s="18">
        <f t="shared" si="13"/>
        <v>57841.822</v>
      </c>
      <c r="O42" s="18">
        <f t="shared" si="14"/>
        <v>115683.644</v>
      </c>
      <c r="P42" s="31">
        <f t="shared" si="15"/>
        <v>327950</v>
      </c>
      <c r="Q42" s="40">
        <v>327950</v>
      </c>
      <c r="R42" s="42">
        <f t="shared" si="5"/>
        <v>0</v>
      </c>
    </row>
    <row r="43" spans="1:18" s="1" customFormat="1" ht="19.7" customHeight="1" x14ac:dyDescent="0.2">
      <c r="A43" s="49" t="s">
        <v>126</v>
      </c>
      <c r="B43" s="49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18">
        <v>0</v>
      </c>
      <c r="I43" s="18"/>
      <c r="J43" s="18"/>
      <c r="K43" s="31">
        <f t="shared" si="12"/>
        <v>1750000</v>
      </c>
      <c r="L43" s="18"/>
      <c r="M43" s="18"/>
      <c r="N43" s="18"/>
      <c r="O43" s="18"/>
      <c r="P43" s="31"/>
      <c r="Q43" s="40"/>
      <c r="R43" s="42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18">
        <v>347578.42</v>
      </c>
      <c r="I44" s="18">
        <v>-345157.14</v>
      </c>
      <c r="J44" s="18">
        <v>-317000.7</v>
      </c>
      <c r="K44" s="31">
        <f t="shared" si="12"/>
        <v>0</v>
      </c>
      <c r="L44" s="18">
        <v>0</v>
      </c>
      <c r="M44" s="18">
        <v>0</v>
      </c>
      <c r="N44" s="18">
        <v>0</v>
      </c>
      <c r="O44" s="18">
        <v>0</v>
      </c>
      <c r="P44" s="31">
        <f>SUM(C44:O44)-K44</f>
        <v>5.8207660913467407E-11</v>
      </c>
      <c r="Q44" s="40">
        <v>0</v>
      </c>
      <c r="R44" s="42">
        <f>P44-Q44</f>
        <v>5.8207660913467407E-11</v>
      </c>
    </row>
    <row r="45" spans="1:18" s="1" customFormat="1" ht="19.7" customHeight="1" thickBot="1" x14ac:dyDescent="0.25">
      <c r="A45" s="8" t="s">
        <v>40</v>
      </c>
      <c r="B45" s="11"/>
      <c r="C45" s="19">
        <f t="shared" ref="C45:J45" si="16">SUM(C37:C44)</f>
        <v>1369828.38</v>
      </c>
      <c r="D45" s="19">
        <f t="shared" si="16"/>
        <v>6080445.1800000006</v>
      </c>
      <c r="E45" s="19">
        <f t="shared" si="16"/>
        <v>5127705.7400000021</v>
      </c>
      <c r="F45" s="19">
        <f t="shared" si="16"/>
        <v>9974039.2999999896</v>
      </c>
      <c r="G45" s="19">
        <f t="shared" si="16"/>
        <v>11441389.970000001</v>
      </c>
      <c r="H45" s="19">
        <f t="shared" si="16"/>
        <v>10990956.67</v>
      </c>
      <c r="I45" s="19">
        <f t="shared" ref="I45" si="17">SUM(I37:I44)</f>
        <v>10748258.16</v>
      </c>
      <c r="J45" s="19">
        <f t="shared" si="16"/>
        <v>11057166.029999999</v>
      </c>
      <c r="K45" s="31">
        <f t="shared" si="12"/>
        <v>66789789.429999992</v>
      </c>
      <c r="L45" s="19">
        <f t="shared" ref="L45:O45" si="18">SUM(L37:L44)</f>
        <v>10362139.314000001</v>
      </c>
      <c r="M45" s="19">
        <f t="shared" si="18"/>
        <v>10362139.314000001</v>
      </c>
      <c r="N45" s="19">
        <f t="shared" si="18"/>
        <v>10362139.314000001</v>
      </c>
      <c r="O45" s="19">
        <f t="shared" si="18"/>
        <v>20724278.628000002</v>
      </c>
      <c r="P45" s="32">
        <f>SUM(P37:P44)</f>
        <v>116850485.99999999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17"/>
      <c r="I46" s="17"/>
      <c r="J46" s="17"/>
      <c r="K46" s="30"/>
      <c r="L46" s="17"/>
      <c r="M46" s="17"/>
      <c r="N46" s="17"/>
      <c r="O46" s="17"/>
      <c r="P46" s="30"/>
    </row>
    <row r="47" spans="1:18" s="1" customFormat="1" ht="19.7" customHeight="1" x14ac:dyDescent="0.2">
      <c r="A47" s="3" t="s">
        <v>41</v>
      </c>
      <c r="B47" s="5"/>
      <c r="C47" s="16">
        <f t="shared" ref="C47:O47" si="19">C35-C45</f>
        <v>3672284.8500000006</v>
      </c>
      <c r="D47" s="16">
        <f t="shared" si="19"/>
        <v>1640437.4699999997</v>
      </c>
      <c r="E47" s="16">
        <f t="shared" si="19"/>
        <v>12799440.179999996</v>
      </c>
      <c r="F47" s="16">
        <f t="shared" si="19"/>
        <v>-4733807.1499999892</v>
      </c>
      <c r="G47" s="16">
        <f t="shared" si="19"/>
        <v>-5131282.1400000006</v>
      </c>
      <c r="H47" s="16">
        <f t="shared" si="19"/>
        <v>1532234.3499999996</v>
      </c>
      <c r="I47" s="16">
        <f t="shared" ref="I47" si="20">I35-I45</f>
        <v>-3422359.7</v>
      </c>
      <c r="J47" s="16">
        <f t="shared" si="19"/>
        <v>-4608040.8299999991</v>
      </c>
      <c r="K47" s="33">
        <f t="shared" si="19"/>
        <v>1748907.0300000012</v>
      </c>
      <c r="L47" s="16">
        <f t="shared" si="19"/>
        <v>2981816.3210000005</v>
      </c>
      <c r="M47" s="16">
        <f t="shared" si="19"/>
        <v>2981816.3210000005</v>
      </c>
      <c r="N47" s="16">
        <f t="shared" si="19"/>
        <v>2981816.3210000005</v>
      </c>
      <c r="O47" s="16">
        <f t="shared" si="19"/>
        <v>-7380322.9930000007</v>
      </c>
      <c r="P47" s="26">
        <f>SUM(C47:O47)-K47</f>
        <v>3314033.0000000075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17"/>
      <c r="I48" s="17"/>
      <c r="J48" s="17"/>
      <c r="K48" s="30"/>
      <c r="L48" s="17"/>
      <c r="M48" s="17"/>
      <c r="N48" s="17"/>
      <c r="O48" s="17"/>
      <c r="P48" s="30"/>
    </row>
    <row r="49" spans="1:16" s="1" customFormat="1" ht="19.7" hidden="1" customHeight="1" x14ac:dyDescent="0.2">
      <c r="A49" s="66" t="s">
        <v>42</v>
      </c>
      <c r="B49" s="6"/>
      <c r="C49" s="17"/>
      <c r="D49" s="17"/>
      <c r="E49" s="17"/>
      <c r="F49" s="17"/>
      <c r="G49" s="17"/>
      <c r="H49" s="17"/>
      <c r="I49" s="17"/>
      <c r="J49" s="17"/>
      <c r="K49" s="30"/>
      <c r="L49" s="17"/>
      <c r="M49" s="17"/>
      <c r="N49" s="17"/>
      <c r="O49" s="17"/>
      <c r="P49" s="30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31"/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18">
        <v>-1523150.5</v>
      </c>
      <c r="I51" s="18">
        <v>-323565.33</v>
      </c>
      <c r="J51" s="18">
        <v>671521.86</v>
      </c>
      <c r="K51" s="31"/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18">
        <v>238941.87</v>
      </c>
      <c r="I52" s="18">
        <v>8862.58</v>
      </c>
      <c r="J52" s="18">
        <v>-138844.93</v>
      </c>
      <c r="K52" s="31"/>
      <c r="L52" s="18">
        <v>0</v>
      </c>
      <c r="M52" s="18">
        <v>0</v>
      </c>
      <c r="N52" s="18">
        <v>0</v>
      </c>
      <c r="O52" s="18">
        <v>0</v>
      </c>
      <c r="P52" s="30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31"/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66" t="s">
        <v>51</v>
      </c>
      <c r="B54" s="6"/>
      <c r="C54" s="17"/>
      <c r="D54" s="17"/>
      <c r="E54" s="17"/>
      <c r="F54" s="17"/>
      <c r="G54" s="17"/>
      <c r="H54" s="17"/>
      <c r="I54" s="17"/>
      <c r="J54" s="17"/>
      <c r="K54" s="31"/>
      <c r="L54" s="17"/>
      <c r="M54" s="17"/>
      <c r="N54" s="17"/>
      <c r="O54" s="17"/>
      <c r="P54" s="30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31"/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180442.13</v>
      </c>
      <c r="H56" s="18">
        <v>419586.19000000099</v>
      </c>
      <c r="I56" s="18">
        <v>-73969.31</v>
      </c>
      <c r="J56" s="18">
        <v>219568.78</v>
      </c>
      <c r="K56" s="31"/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-94198.96</v>
      </c>
      <c r="H57" s="18">
        <v>1857392.91</v>
      </c>
      <c r="I57" s="18">
        <v>404461.11</v>
      </c>
      <c r="J57" s="18">
        <v>140927.97</v>
      </c>
      <c r="K57" s="31"/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31"/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31"/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31"/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31"/>
      <c r="L61" s="18">
        <v>0</v>
      </c>
      <c r="M61" s="18">
        <v>0</v>
      </c>
      <c r="N61" s="18">
        <v>0</v>
      </c>
      <c r="O61" s="18">
        <v>0</v>
      </c>
      <c r="P61" s="30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31"/>
      <c r="L62" s="18">
        <v>0</v>
      </c>
      <c r="M62" s="18">
        <v>0</v>
      </c>
      <c r="N62" s="18">
        <v>0</v>
      </c>
      <c r="O62" s="18">
        <v>0</v>
      </c>
      <c r="P62" s="30"/>
    </row>
    <row r="63" spans="1:16" s="1" customFormat="1" ht="19.7" customHeight="1" thickBot="1" x14ac:dyDescent="0.25">
      <c r="A63" s="8" t="s">
        <v>66</v>
      </c>
      <c r="B63" s="11"/>
      <c r="C63" s="19">
        <f t="shared" ref="C63:J63" si="21">SUM(C50:C62)</f>
        <v>-10071021.609999999</v>
      </c>
      <c r="D63" s="19">
        <f t="shared" si="21"/>
        <v>-2775027.34</v>
      </c>
      <c r="E63" s="19">
        <f t="shared" si="21"/>
        <v>206991.87</v>
      </c>
      <c r="F63" s="19">
        <f t="shared" si="21"/>
        <v>1193721</v>
      </c>
      <c r="G63" s="19">
        <f t="shared" si="21"/>
        <v>279063.77</v>
      </c>
      <c r="H63" s="19">
        <f t="shared" si="21"/>
        <v>992770.47000000102</v>
      </c>
      <c r="I63" s="19">
        <f t="shared" ref="I63" si="22">SUM(I50:I62)</f>
        <v>15789.049999999988</v>
      </c>
      <c r="J63" s="19">
        <f t="shared" si="21"/>
        <v>893173.67999999993</v>
      </c>
      <c r="K63" s="32"/>
      <c r="L63" s="19">
        <v>-1200000</v>
      </c>
      <c r="M63" s="19">
        <v>-1200000</v>
      </c>
      <c r="N63" s="19">
        <v>-1200000</v>
      </c>
      <c r="O63" s="19">
        <v>-1200000</v>
      </c>
      <c r="P63" s="38"/>
    </row>
    <row r="64" spans="1:16" s="1" customFormat="1" ht="18.2" customHeight="1" x14ac:dyDescent="0.2">
      <c r="A64" s="6"/>
      <c r="B64" s="6"/>
      <c r="C64" s="17"/>
      <c r="D64" s="17"/>
      <c r="E64" s="17"/>
      <c r="F64" s="17"/>
      <c r="G64" s="17"/>
      <c r="H64" s="17"/>
      <c r="I64" s="17"/>
      <c r="J64" s="17"/>
      <c r="K64" s="30"/>
      <c r="L64" s="17"/>
      <c r="M64" s="17"/>
      <c r="N64" s="17"/>
      <c r="O64" s="17"/>
      <c r="P64" s="30"/>
    </row>
    <row r="65" spans="1:16" s="1" customFormat="1" ht="19.7" customHeight="1" thickBot="1" x14ac:dyDescent="0.25">
      <c r="A65" s="13" t="s">
        <v>67</v>
      </c>
      <c r="B65" s="14"/>
      <c r="C65" s="20">
        <f t="shared" ref="C65:G65" si="23">C3+C47+C63</f>
        <v>17276325.860000003</v>
      </c>
      <c r="D65" s="20">
        <f t="shared" si="23"/>
        <v>16141735.990000002</v>
      </c>
      <c r="E65" s="20">
        <f t="shared" si="23"/>
        <v>29148168.039999999</v>
      </c>
      <c r="F65" s="20">
        <f t="shared" si="23"/>
        <v>25608081.890000008</v>
      </c>
      <c r="G65" s="20">
        <f t="shared" si="23"/>
        <v>20755863.520000007</v>
      </c>
      <c r="H65" s="20">
        <f>H3+H47+H63</f>
        <v>23280868.340000007</v>
      </c>
      <c r="I65" s="20">
        <f>I3+I47+I63</f>
        <v>19874297.690000009</v>
      </c>
      <c r="J65" s="20">
        <f>J3+J47+J63</f>
        <v>16159430.54000001</v>
      </c>
      <c r="K65" s="34"/>
      <c r="L65" s="20">
        <f t="shared" ref="L65:N65" si="24">L3+L47+L63</f>
        <v>17941246.861000009</v>
      </c>
      <c r="M65" s="20">
        <f t="shared" si="24"/>
        <v>19723063.182000011</v>
      </c>
      <c r="N65" s="20">
        <f t="shared" si="24"/>
        <v>21504879.503000014</v>
      </c>
      <c r="O65" s="20">
        <f>O3+O47+O63</f>
        <v>12924556.510000013</v>
      </c>
      <c r="P65" s="39"/>
    </row>
    <row r="66" spans="1:16" s="1" customFormat="1" ht="28.7" customHeight="1" x14ac:dyDescent="0.2">
      <c r="C66" s="21"/>
      <c r="D66" s="21"/>
      <c r="E66" s="21"/>
      <c r="F66" s="21"/>
      <c r="G66" s="21"/>
      <c r="H66" s="21"/>
      <c r="I66" s="21"/>
      <c r="J66" s="21"/>
      <c r="K66" s="35"/>
      <c r="L66" s="21"/>
      <c r="M66" s="21"/>
      <c r="N66" s="21"/>
      <c r="O66" s="21"/>
      <c r="P66" s="21"/>
    </row>
  </sheetData>
  <sheetProtection algorithmName="SHA-512" hashValue="Jc6ZwUDWJ/3dheqYsu1OuTub5HDqg2vEMBbKkwaYQj0pGnPz74lfnuTI6KpxmSxZyqxG0HSkqTRHrlYwxqfR9Q==" saltValue="X+jpHzYa4L3M2mV+z3P2bw==" spinCount="100000" sheet="1" objects="1" scenarios="1"/>
  <mergeCells count="1">
    <mergeCell ref="A1:B1"/>
  </mergeCells>
  <pageMargins left="0.7" right="0.7" top="0.75" bottom="0.75" header="0.3" footer="0.3"/>
  <pageSetup paperSize="9" scale="3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340C0-B846-46A6-B3DD-79FDAFF48E9D}">
  <sheetPr>
    <pageSetUpPr fitToPage="1"/>
  </sheetPr>
  <dimension ref="A1:R6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9" sqref="A9"/>
    </sheetView>
  </sheetViews>
  <sheetFormatPr defaultRowHeight="12.75" x14ac:dyDescent="0.2"/>
  <cols>
    <col min="1" max="1" width="35.5703125" customWidth="1"/>
    <col min="2" max="2" width="20" customWidth="1"/>
    <col min="3" max="9" width="20" style="22" customWidth="1"/>
    <col min="10" max="10" width="22.42578125" style="36" bestFit="1" customWidth="1"/>
    <col min="11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9" t="s">
        <v>0</v>
      </c>
      <c r="B1" s="69"/>
      <c r="C1" s="27"/>
      <c r="D1" s="27"/>
      <c r="E1" s="27" t="s">
        <v>1</v>
      </c>
      <c r="F1" s="27"/>
      <c r="G1" s="27"/>
      <c r="H1" s="27"/>
      <c r="I1" s="27"/>
      <c r="J1" s="29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25" t="s">
        <v>16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 t="shared" ref="D3:I3" si="0">C65</f>
        <v>17276325.860000003</v>
      </c>
      <c r="E3" s="16">
        <f t="shared" si="0"/>
        <v>16141735.990000002</v>
      </c>
      <c r="F3" s="16">
        <f t="shared" si="0"/>
        <v>29148168.039999999</v>
      </c>
      <c r="G3" s="16">
        <f t="shared" si="0"/>
        <v>25608081.890000008</v>
      </c>
      <c r="H3" s="16">
        <f t="shared" si="0"/>
        <v>20755863.520000007</v>
      </c>
      <c r="I3" s="16">
        <f t="shared" si="0"/>
        <v>23280868.340000007</v>
      </c>
      <c r="J3" s="50" t="s">
        <v>131</v>
      </c>
      <c r="K3" s="16">
        <f>I65</f>
        <v>19874297.690000009</v>
      </c>
      <c r="L3" s="16">
        <f t="shared" ref="L3:O3" si="1">K65</f>
        <v>20108474.688000008</v>
      </c>
      <c r="M3" s="16">
        <f t="shared" si="1"/>
        <v>20342651.686000004</v>
      </c>
      <c r="N3" s="16">
        <f t="shared" si="1"/>
        <v>20576828.684</v>
      </c>
      <c r="O3" s="16">
        <f t="shared" si="1"/>
        <v>20811005.681999996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17"/>
      <c r="I4" s="17"/>
      <c r="J4" s="30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18">
        <v>0</v>
      </c>
      <c r="I5" s="18">
        <v>0</v>
      </c>
      <c r="J5" s="31">
        <f t="shared" ref="J5:J16" si="2">SUM(C5:I5)</f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1" si="3">SUM(C5:O5)-J5</f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28">
        <v>2773191</v>
      </c>
      <c r="I6" s="28">
        <v>6488557</v>
      </c>
      <c r="J6" s="31">
        <f t="shared" si="2"/>
        <v>35329736</v>
      </c>
      <c r="K6" s="28">
        <f t="shared" ref="K6:O16" si="4">($Q6-$J6)/5</f>
        <v>9899632.1999999993</v>
      </c>
      <c r="L6" s="28">
        <f t="shared" si="4"/>
        <v>9899632.1999999993</v>
      </c>
      <c r="M6" s="28">
        <f t="shared" si="4"/>
        <v>9899632.1999999993</v>
      </c>
      <c r="N6" s="28">
        <f t="shared" si="4"/>
        <v>9899632.1999999993</v>
      </c>
      <c r="O6" s="28">
        <f t="shared" si="4"/>
        <v>9899632.1999999993</v>
      </c>
      <c r="P6" s="31">
        <f t="shared" si="3"/>
        <v>84827897.000000015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28">
        <v>89675</v>
      </c>
      <c r="I7" s="28">
        <v>143481</v>
      </c>
      <c r="J7" s="31">
        <f t="shared" si="2"/>
        <v>1076107</v>
      </c>
      <c r="K7" s="28">
        <f t="shared" si="4"/>
        <v>143481</v>
      </c>
      <c r="L7" s="28">
        <f t="shared" si="4"/>
        <v>143481</v>
      </c>
      <c r="M7" s="28">
        <f t="shared" si="4"/>
        <v>143481</v>
      </c>
      <c r="N7" s="28">
        <f t="shared" si="4"/>
        <v>143481</v>
      </c>
      <c r="O7" s="28">
        <f t="shared" si="4"/>
        <v>143481</v>
      </c>
      <c r="P7" s="31">
        <f t="shared" si="3"/>
        <v>1793512</v>
      </c>
      <c r="Q7" s="40">
        <v>1793512</v>
      </c>
      <c r="R7" s="42">
        <f t="shared" ref="R7:R42" si="5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28">
        <v>0</v>
      </c>
      <c r="I8" s="28">
        <v>0</v>
      </c>
      <c r="J8" s="31">
        <f t="shared" si="2"/>
        <v>10044979</v>
      </c>
      <c r="K8" s="28">
        <f t="shared" si="4"/>
        <v>-2008995.8</v>
      </c>
      <c r="L8" s="28">
        <f t="shared" si="4"/>
        <v>-2008995.8</v>
      </c>
      <c r="M8" s="28">
        <f t="shared" si="4"/>
        <v>-2008995.8</v>
      </c>
      <c r="N8" s="28">
        <f t="shared" si="4"/>
        <v>-2008995.8</v>
      </c>
      <c r="O8" s="28">
        <f t="shared" si="4"/>
        <v>-2008995.8</v>
      </c>
      <c r="P8" s="31">
        <f t="shared" si="3"/>
        <v>0</v>
      </c>
      <c r="Q8" s="40">
        <v>0</v>
      </c>
      <c r="R8" s="42">
        <f t="shared" si="5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28">
        <v>16008</v>
      </c>
      <c r="I9" s="28">
        <v>25614</v>
      </c>
      <c r="J9" s="31">
        <f t="shared" si="2"/>
        <v>192102</v>
      </c>
      <c r="K9" s="28">
        <f t="shared" si="4"/>
        <v>23579.599999999999</v>
      </c>
      <c r="L9" s="28">
        <f t="shared" si="4"/>
        <v>23579.599999999999</v>
      </c>
      <c r="M9" s="28">
        <f t="shared" si="4"/>
        <v>23579.599999999999</v>
      </c>
      <c r="N9" s="28">
        <f t="shared" si="4"/>
        <v>23579.599999999999</v>
      </c>
      <c r="O9" s="28">
        <f t="shared" si="4"/>
        <v>23579.599999999999</v>
      </c>
      <c r="P9" s="31">
        <f t="shared" si="3"/>
        <v>309999.99999999988</v>
      </c>
      <c r="Q9" s="40">
        <v>310000</v>
      </c>
      <c r="R9" s="42">
        <f t="shared" si="5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31">
        <f t="shared" si="2"/>
        <v>0</v>
      </c>
      <c r="K10" s="28">
        <f t="shared" si="4"/>
        <v>70000</v>
      </c>
      <c r="L10" s="28">
        <f t="shared" si="4"/>
        <v>70000</v>
      </c>
      <c r="M10" s="28">
        <f t="shared" si="4"/>
        <v>70000</v>
      </c>
      <c r="N10" s="28">
        <f t="shared" si="4"/>
        <v>70000</v>
      </c>
      <c r="O10" s="28">
        <f t="shared" si="4"/>
        <v>70000</v>
      </c>
      <c r="P10" s="31">
        <f t="shared" si="3"/>
        <v>350000</v>
      </c>
      <c r="Q10" s="40">
        <v>350000</v>
      </c>
      <c r="R10" s="42">
        <f t="shared" si="5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28">
        <v>6967</v>
      </c>
      <c r="I11" s="28">
        <v>11146</v>
      </c>
      <c r="J11" s="31">
        <f t="shared" si="2"/>
        <v>83599</v>
      </c>
      <c r="K11" s="28">
        <f t="shared" si="4"/>
        <v>13280.2</v>
      </c>
      <c r="L11" s="28">
        <f t="shared" si="4"/>
        <v>13280.2</v>
      </c>
      <c r="M11" s="28">
        <f t="shared" si="4"/>
        <v>13280.2</v>
      </c>
      <c r="N11" s="28">
        <f t="shared" si="4"/>
        <v>13280.2</v>
      </c>
      <c r="O11" s="28">
        <f t="shared" si="4"/>
        <v>13280.2</v>
      </c>
      <c r="P11" s="31">
        <f t="shared" si="3"/>
        <v>150000.00000000006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2051453</v>
      </c>
      <c r="I12" s="28">
        <v>-2051453</v>
      </c>
      <c r="J12" s="31">
        <f t="shared" si="2"/>
        <v>0</v>
      </c>
      <c r="K12" s="28">
        <f t="shared" si="4"/>
        <v>5200</v>
      </c>
      <c r="L12" s="28">
        <f t="shared" si="4"/>
        <v>5200</v>
      </c>
      <c r="M12" s="28">
        <f t="shared" si="4"/>
        <v>5200</v>
      </c>
      <c r="N12" s="28">
        <f t="shared" si="4"/>
        <v>5200</v>
      </c>
      <c r="O12" s="28">
        <f t="shared" si="4"/>
        <v>5200</v>
      </c>
      <c r="P12" s="31">
        <f t="shared" si="3"/>
        <v>26000</v>
      </c>
      <c r="Q12" s="40">
        <v>26000</v>
      </c>
      <c r="R12" s="42">
        <f t="shared" si="5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8231.5</v>
      </c>
      <c r="I13" s="28">
        <v>19206.830000000002</v>
      </c>
      <c r="J13" s="31">
        <f t="shared" si="2"/>
        <v>27438.33</v>
      </c>
      <c r="K13" s="28">
        <f t="shared" si="4"/>
        <v>-5487.6660000000002</v>
      </c>
      <c r="L13" s="28">
        <f t="shared" si="4"/>
        <v>-5487.6660000000002</v>
      </c>
      <c r="M13" s="28">
        <f t="shared" si="4"/>
        <v>-5487.6660000000002</v>
      </c>
      <c r="N13" s="28">
        <f t="shared" si="4"/>
        <v>-5487.6660000000002</v>
      </c>
      <c r="O13" s="28">
        <f t="shared" si="4"/>
        <v>-5487.6660000000002</v>
      </c>
      <c r="P13" s="31">
        <f t="shared" si="3"/>
        <v>0</v>
      </c>
      <c r="Q13" s="40">
        <v>0</v>
      </c>
      <c r="R13" s="42">
        <f t="shared" si="5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28">
        <v>1199709.76</v>
      </c>
      <c r="I14" s="28">
        <v>0</v>
      </c>
      <c r="J14" s="31">
        <f t="shared" si="2"/>
        <v>1300498.7000000002</v>
      </c>
      <c r="K14" s="28">
        <f t="shared" si="4"/>
        <v>239900.25999999995</v>
      </c>
      <c r="L14" s="28">
        <f t="shared" si="4"/>
        <v>239900.25999999995</v>
      </c>
      <c r="M14" s="28">
        <f t="shared" si="4"/>
        <v>239900.25999999995</v>
      </c>
      <c r="N14" s="28">
        <f t="shared" si="4"/>
        <v>239900.25999999995</v>
      </c>
      <c r="O14" s="28">
        <f t="shared" si="4"/>
        <v>239900.25999999995</v>
      </c>
      <c r="P14" s="31">
        <f t="shared" si="3"/>
        <v>2499999.9999999991</v>
      </c>
      <c r="Q14" s="40">
        <v>2500000</v>
      </c>
      <c r="R14" s="42">
        <f t="shared" si="5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31">
        <f t="shared" si="2"/>
        <v>0</v>
      </c>
      <c r="K15" s="28">
        <f t="shared" si="4"/>
        <v>0</v>
      </c>
      <c r="L15" s="28">
        <f t="shared" si="4"/>
        <v>0</v>
      </c>
      <c r="M15" s="28">
        <f t="shared" si="4"/>
        <v>0</v>
      </c>
      <c r="N15" s="28">
        <f t="shared" si="4"/>
        <v>0</v>
      </c>
      <c r="O15" s="28">
        <f t="shared" si="4"/>
        <v>0</v>
      </c>
      <c r="P15" s="31">
        <f t="shared" si="3"/>
        <v>0</v>
      </c>
      <c r="Q15" s="40">
        <v>0</v>
      </c>
      <c r="R15" s="42">
        <f t="shared" si="5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28">
        <v>0</v>
      </c>
      <c r="I16" s="28">
        <v>0</v>
      </c>
      <c r="J16" s="31">
        <f t="shared" si="2"/>
        <v>478796</v>
      </c>
      <c r="K16" s="28">
        <f t="shared" si="4"/>
        <v>-5759.2</v>
      </c>
      <c r="L16" s="28">
        <f t="shared" si="4"/>
        <v>-5759.2</v>
      </c>
      <c r="M16" s="28">
        <f t="shared" si="4"/>
        <v>-5759.2</v>
      </c>
      <c r="N16" s="28">
        <f t="shared" si="4"/>
        <v>-5759.2</v>
      </c>
      <c r="O16" s="28">
        <f t="shared" si="4"/>
        <v>-5759.2</v>
      </c>
      <c r="P16" s="31">
        <f t="shared" si="3"/>
        <v>450000.00000000023</v>
      </c>
      <c r="Q16" s="40">
        <v>450000</v>
      </c>
      <c r="R16" s="42">
        <f t="shared" si="5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v>4617346</v>
      </c>
      <c r="D17" s="18">
        <v>4617345</v>
      </c>
      <c r="E17" s="18">
        <v>17659330.199999999</v>
      </c>
      <c r="F17" s="18">
        <v>5184138.74</v>
      </c>
      <c r="G17" s="18">
        <v>5673309</v>
      </c>
      <c r="H17" s="18">
        <v>6145235.2599999998</v>
      </c>
      <c r="I17" s="18">
        <v>4636551.83</v>
      </c>
      <c r="J17" s="31">
        <f>SUM(J6:J16)</f>
        <v>48533256.030000001</v>
      </c>
      <c r="K17" s="18">
        <f t="shared" ref="K17:O17" si="6">SUM(K6:K16)</f>
        <v>8374830.5939999986</v>
      </c>
      <c r="L17" s="18">
        <f t="shared" si="6"/>
        <v>8374830.5939999986</v>
      </c>
      <c r="M17" s="18">
        <f t="shared" si="6"/>
        <v>8374830.5939999986</v>
      </c>
      <c r="N17" s="18">
        <f t="shared" si="6"/>
        <v>8374830.5939999986</v>
      </c>
      <c r="O17" s="18">
        <f t="shared" si="6"/>
        <v>8374830.5939999986</v>
      </c>
      <c r="P17" s="31">
        <f t="shared" si="3"/>
        <v>90407409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5657380.1799999997</v>
      </c>
      <c r="I18" s="28">
        <v>1414345.04</v>
      </c>
      <c r="J18" s="31">
        <f t="shared" ref="J18:J31" si="7">SUM(C18:I18)</f>
        <v>7071725.2199999997</v>
      </c>
      <c r="K18" s="28">
        <f t="shared" ref="K18:O31" si="8">($Q18-$J18)/5</f>
        <v>1385654.956</v>
      </c>
      <c r="L18" s="28">
        <f t="shared" si="8"/>
        <v>1385654.956</v>
      </c>
      <c r="M18" s="28">
        <f t="shared" si="8"/>
        <v>1385654.956</v>
      </c>
      <c r="N18" s="28">
        <f t="shared" si="8"/>
        <v>1385654.956</v>
      </c>
      <c r="O18" s="28">
        <f t="shared" si="8"/>
        <v>1385654.956</v>
      </c>
      <c r="P18" s="31">
        <f t="shared" si="3"/>
        <v>14000000</v>
      </c>
      <c r="Q18" s="40">
        <v>14000000</v>
      </c>
      <c r="R18" s="42">
        <f t="shared" si="5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28">
        <v>2325.27</v>
      </c>
      <c r="I19" s="28">
        <v>28490.65</v>
      </c>
      <c r="J19" s="31">
        <f t="shared" si="7"/>
        <v>163298.52999999997</v>
      </c>
      <c r="K19" s="28">
        <f t="shared" si="8"/>
        <v>23340.294000000005</v>
      </c>
      <c r="L19" s="28">
        <f t="shared" si="8"/>
        <v>23340.294000000005</v>
      </c>
      <c r="M19" s="28">
        <f t="shared" si="8"/>
        <v>23340.294000000005</v>
      </c>
      <c r="N19" s="28">
        <f t="shared" si="8"/>
        <v>23340.294000000005</v>
      </c>
      <c r="O19" s="28">
        <f t="shared" si="8"/>
        <v>23340.294000000005</v>
      </c>
      <c r="P19" s="31">
        <f t="shared" si="3"/>
        <v>279999.99999999994</v>
      </c>
      <c r="Q19" s="40">
        <v>280000</v>
      </c>
      <c r="R19" s="42">
        <f t="shared" si="5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28">
        <v>0</v>
      </c>
      <c r="I20" s="28">
        <v>0</v>
      </c>
      <c r="J20" s="31">
        <f t="shared" si="7"/>
        <v>410264.3</v>
      </c>
      <c r="K20" s="28">
        <f t="shared" si="8"/>
        <v>-38052.86</v>
      </c>
      <c r="L20" s="28">
        <f t="shared" si="8"/>
        <v>-38052.86</v>
      </c>
      <c r="M20" s="28">
        <f t="shared" si="8"/>
        <v>-38052.86</v>
      </c>
      <c r="N20" s="28">
        <f t="shared" si="8"/>
        <v>-38052.86</v>
      </c>
      <c r="O20" s="28">
        <f t="shared" si="8"/>
        <v>-38052.86</v>
      </c>
      <c r="P20" s="31">
        <f t="shared" si="3"/>
        <v>220000.00000000006</v>
      </c>
      <c r="Q20" s="40">
        <v>220000</v>
      </c>
      <c r="R20" s="42">
        <f t="shared" si="5"/>
        <v>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28">
        <v>92907.790000000008</v>
      </c>
      <c r="I21" s="28">
        <v>800.32</v>
      </c>
      <c r="J21" s="31">
        <f t="shared" si="7"/>
        <v>485840.66</v>
      </c>
      <c r="K21" s="28">
        <f t="shared" si="8"/>
        <v>-57168.131999999998</v>
      </c>
      <c r="L21" s="28">
        <f t="shared" si="8"/>
        <v>-57168.131999999998</v>
      </c>
      <c r="M21" s="28">
        <f t="shared" si="8"/>
        <v>-57168.131999999998</v>
      </c>
      <c r="N21" s="28">
        <f t="shared" si="8"/>
        <v>-57168.131999999998</v>
      </c>
      <c r="O21" s="28">
        <f t="shared" si="8"/>
        <v>-57168.131999999998</v>
      </c>
      <c r="P21" s="31">
        <f t="shared" si="3"/>
        <v>200000.00000000006</v>
      </c>
      <c r="Q21" s="40">
        <v>200000</v>
      </c>
      <c r="R21" s="42">
        <f t="shared" si="5"/>
        <v>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28">
        <v>427171.94</v>
      </c>
      <c r="I22" s="28">
        <v>0</v>
      </c>
      <c r="J22" s="31">
        <f t="shared" si="7"/>
        <v>503789.49</v>
      </c>
      <c r="K22" s="28">
        <f t="shared" si="8"/>
        <v>1599242.102</v>
      </c>
      <c r="L22" s="28">
        <f t="shared" si="8"/>
        <v>1599242.102</v>
      </c>
      <c r="M22" s="28">
        <f t="shared" si="8"/>
        <v>1599242.102</v>
      </c>
      <c r="N22" s="28">
        <f t="shared" si="8"/>
        <v>1599242.102</v>
      </c>
      <c r="O22" s="28">
        <f t="shared" si="8"/>
        <v>1599242.102</v>
      </c>
      <c r="P22" s="31">
        <f t="shared" si="3"/>
        <v>8500000</v>
      </c>
      <c r="Q22" s="40">
        <v>8500000</v>
      </c>
      <c r="R22" s="42">
        <f t="shared" si="5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1085599.1100000001</v>
      </c>
      <c r="J23" s="31">
        <f t="shared" si="7"/>
        <v>1085599.1100000001</v>
      </c>
      <c r="K23" s="28">
        <f t="shared" si="8"/>
        <v>157019.37799999997</v>
      </c>
      <c r="L23" s="28">
        <f t="shared" si="8"/>
        <v>157019.37799999997</v>
      </c>
      <c r="M23" s="28">
        <f t="shared" si="8"/>
        <v>157019.37799999997</v>
      </c>
      <c r="N23" s="28">
        <f t="shared" si="8"/>
        <v>157019.37799999997</v>
      </c>
      <c r="O23" s="28">
        <f t="shared" si="8"/>
        <v>157019.37799999997</v>
      </c>
      <c r="P23" s="31">
        <f t="shared" si="3"/>
        <v>1870696.0000000002</v>
      </c>
      <c r="Q23" s="40">
        <v>1870696</v>
      </c>
      <c r="R23" s="42">
        <f t="shared" si="5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28">
        <v>10</v>
      </c>
      <c r="I24" s="28">
        <v>5</v>
      </c>
      <c r="J24" s="31">
        <f t="shared" si="7"/>
        <v>40</v>
      </c>
      <c r="K24" s="28">
        <f t="shared" si="8"/>
        <v>-8</v>
      </c>
      <c r="L24" s="28">
        <f t="shared" si="8"/>
        <v>-8</v>
      </c>
      <c r="M24" s="28">
        <f t="shared" si="8"/>
        <v>-8</v>
      </c>
      <c r="N24" s="28">
        <f t="shared" si="8"/>
        <v>-8</v>
      </c>
      <c r="O24" s="28">
        <f t="shared" si="8"/>
        <v>-8</v>
      </c>
      <c r="P24" s="31">
        <f t="shared" si="3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28">
        <v>3807</v>
      </c>
      <c r="I25" s="28">
        <v>640</v>
      </c>
      <c r="J25" s="31">
        <f t="shared" si="7"/>
        <v>17035.8</v>
      </c>
      <c r="K25" s="28">
        <f t="shared" si="8"/>
        <v>592.84000000000083</v>
      </c>
      <c r="L25" s="28">
        <f t="shared" si="8"/>
        <v>592.84000000000083</v>
      </c>
      <c r="M25" s="28">
        <f t="shared" si="8"/>
        <v>592.84000000000083</v>
      </c>
      <c r="N25" s="28">
        <f t="shared" si="8"/>
        <v>592.84000000000083</v>
      </c>
      <c r="O25" s="28">
        <f t="shared" si="8"/>
        <v>592.84000000000083</v>
      </c>
      <c r="P25" s="31">
        <f t="shared" si="3"/>
        <v>20000.000000000018</v>
      </c>
      <c r="Q25" s="40">
        <v>20000.000000000004</v>
      </c>
      <c r="R25" s="42">
        <f t="shared" si="5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28">
        <v>0.06</v>
      </c>
      <c r="I26" s="28">
        <v>0.04</v>
      </c>
      <c r="J26" s="31">
        <f t="shared" si="7"/>
        <v>279439.67</v>
      </c>
      <c r="K26" s="28">
        <f t="shared" si="8"/>
        <v>-35887.933999999994</v>
      </c>
      <c r="L26" s="28">
        <f t="shared" si="8"/>
        <v>-35887.933999999994</v>
      </c>
      <c r="M26" s="28">
        <f t="shared" si="8"/>
        <v>-35887.933999999994</v>
      </c>
      <c r="N26" s="28">
        <f t="shared" si="8"/>
        <v>-35887.933999999994</v>
      </c>
      <c r="O26" s="28">
        <f t="shared" si="8"/>
        <v>-35887.933999999994</v>
      </c>
      <c r="P26" s="31">
        <f t="shared" si="3"/>
        <v>99999.999999999942</v>
      </c>
      <c r="Q26" s="40">
        <v>100000</v>
      </c>
      <c r="R26" s="42">
        <f t="shared" si="5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176868</v>
      </c>
      <c r="J27" s="31">
        <f t="shared" si="7"/>
        <v>176868</v>
      </c>
      <c r="K27" s="28">
        <f t="shared" si="8"/>
        <v>-10373.6</v>
      </c>
      <c r="L27" s="28">
        <f t="shared" si="8"/>
        <v>-10373.6</v>
      </c>
      <c r="M27" s="28">
        <f t="shared" si="8"/>
        <v>-10373.6</v>
      </c>
      <c r="N27" s="28">
        <f t="shared" si="8"/>
        <v>-10373.6</v>
      </c>
      <c r="O27" s="28">
        <f t="shared" si="8"/>
        <v>-10373.6</v>
      </c>
      <c r="P27" s="31">
        <f t="shared" si="3"/>
        <v>125000.00000000012</v>
      </c>
      <c r="Q27" s="40">
        <v>125000</v>
      </c>
      <c r="R27" s="42">
        <f t="shared" si="5"/>
        <v>1.1641532182693481E-10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28">
        <v>37880</v>
      </c>
      <c r="I28" s="28">
        <v>-15080</v>
      </c>
      <c r="J28" s="31">
        <f t="shared" si="7"/>
        <v>1110325</v>
      </c>
      <c r="K28" s="28">
        <f t="shared" si="8"/>
        <v>177935</v>
      </c>
      <c r="L28" s="28">
        <f t="shared" si="8"/>
        <v>177935</v>
      </c>
      <c r="M28" s="28">
        <f t="shared" si="8"/>
        <v>177935</v>
      </c>
      <c r="N28" s="28">
        <f t="shared" si="8"/>
        <v>177935</v>
      </c>
      <c r="O28" s="28">
        <f t="shared" si="8"/>
        <v>177935</v>
      </c>
      <c r="P28" s="31">
        <f t="shared" si="3"/>
        <v>2000000</v>
      </c>
      <c r="Q28" s="40">
        <v>2000000</v>
      </c>
      <c r="R28" s="42">
        <f t="shared" si="5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28">
        <v>1143.42</v>
      </c>
      <c r="I29" s="28">
        <v>600</v>
      </c>
      <c r="J29" s="31">
        <f t="shared" si="7"/>
        <v>5823.42</v>
      </c>
      <c r="K29" s="28">
        <f t="shared" si="8"/>
        <v>835.31600000000003</v>
      </c>
      <c r="L29" s="28">
        <f t="shared" si="8"/>
        <v>835.31600000000003</v>
      </c>
      <c r="M29" s="28">
        <f t="shared" si="8"/>
        <v>835.31600000000003</v>
      </c>
      <c r="N29" s="28">
        <f t="shared" si="8"/>
        <v>835.31600000000003</v>
      </c>
      <c r="O29" s="28">
        <f t="shared" si="8"/>
        <v>835.31600000000003</v>
      </c>
      <c r="P29" s="31">
        <f t="shared" si="3"/>
        <v>10000.000000000004</v>
      </c>
      <c r="Q29" s="40">
        <v>10000</v>
      </c>
      <c r="R29" s="42">
        <f t="shared" si="5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28">
        <v>110</v>
      </c>
      <c r="I30" s="28">
        <v>9159.9</v>
      </c>
      <c r="J30" s="31">
        <f t="shared" si="7"/>
        <v>56108.1</v>
      </c>
      <c r="K30" s="28">
        <f t="shared" si="8"/>
        <v>18778.379999999997</v>
      </c>
      <c r="L30" s="28">
        <f t="shared" si="8"/>
        <v>18778.379999999997</v>
      </c>
      <c r="M30" s="28">
        <f t="shared" si="8"/>
        <v>18778.379999999997</v>
      </c>
      <c r="N30" s="28">
        <f t="shared" si="8"/>
        <v>18778.379999999997</v>
      </c>
      <c r="O30" s="28">
        <f t="shared" si="8"/>
        <v>18778.379999999997</v>
      </c>
      <c r="P30" s="31">
        <f t="shared" si="3"/>
        <v>150000</v>
      </c>
      <c r="Q30" s="40">
        <v>150000</v>
      </c>
      <c r="R30" s="42">
        <f t="shared" si="5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28">
        <v>66926.960000000006</v>
      </c>
      <c r="I31" s="28">
        <v>-18816.5</v>
      </c>
      <c r="J31" s="31">
        <f t="shared" si="7"/>
        <v>2050716.96</v>
      </c>
      <c r="K31" s="28">
        <f t="shared" si="8"/>
        <v>370137.408</v>
      </c>
      <c r="L31" s="28">
        <f t="shared" si="8"/>
        <v>370137.408</v>
      </c>
      <c r="M31" s="28">
        <f t="shared" si="8"/>
        <v>370137.408</v>
      </c>
      <c r="N31" s="28">
        <f t="shared" si="8"/>
        <v>370137.408</v>
      </c>
      <c r="O31" s="28">
        <f t="shared" si="8"/>
        <v>370137.408</v>
      </c>
      <c r="P31" s="31">
        <f t="shared" si="3"/>
        <v>3901403.9999999991</v>
      </c>
      <c r="Q31" s="40">
        <v>3901404</v>
      </c>
      <c r="R31" s="42">
        <f t="shared" si="5"/>
        <v>0</v>
      </c>
    </row>
    <row r="32" spans="1:18" s="1" customFormat="1" ht="19.7" customHeight="1" x14ac:dyDescent="0.2">
      <c r="A32" s="47" t="s">
        <v>124</v>
      </c>
      <c r="B32" s="48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28">
        <v>-10</v>
      </c>
      <c r="I32" s="28"/>
      <c r="J32" s="31"/>
      <c r="K32" s="28"/>
      <c r="L32" s="28"/>
      <c r="M32" s="28"/>
      <c r="N32" s="28"/>
      <c r="O32" s="28"/>
      <c r="P32" s="31"/>
      <c r="Q32" s="40"/>
      <c r="R32" s="42"/>
    </row>
    <row r="33" spans="1:18" s="1" customFormat="1" ht="19.7" customHeight="1" x14ac:dyDescent="0.2">
      <c r="A33" s="23" t="s">
        <v>113</v>
      </c>
      <c r="B33" s="24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10537.46</v>
      </c>
      <c r="H33" s="28">
        <v>88303.14</v>
      </c>
      <c r="I33" s="28">
        <v>6735.07</v>
      </c>
      <c r="J33" s="31">
        <f>SUM(C33:I33)</f>
        <v>139440.97</v>
      </c>
      <c r="K33" s="28">
        <f>($Q33-$J33)/5</f>
        <v>-1888.1940000000002</v>
      </c>
      <c r="L33" s="28">
        <f>($Q33-$J33)/5</f>
        <v>-1888.1940000000002</v>
      </c>
      <c r="M33" s="28">
        <f>($Q33-$J33)/5</f>
        <v>-1888.1940000000002</v>
      </c>
      <c r="N33" s="28">
        <f>($Q33-$J33)/5</f>
        <v>-1888.1940000000002</v>
      </c>
      <c r="O33" s="28">
        <f>($Q33-$J33)/5</f>
        <v>-1888.1940000000002</v>
      </c>
      <c r="P33" s="31">
        <f>SUM(C33:O33)-J33</f>
        <v>129999.99999999991</v>
      </c>
      <c r="Q33" s="40">
        <v>130000</v>
      </c>
      <c r="R33" s="42">
        <f t="shared" si="5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v>424767.23</v>
      </c>
      <c r="D34" s="18">
        <v>3103537.6500000004</v>
      </c>
      <c r="E34" s="18">
        <v>60252.72</v>
      </c>
      <c r="F34" s="18">
        <v>263656.40999999997</v>
      </c>
      <c r="G34" s="18">
        <v>636798.82999999996</v>
      </c>
      <c r="H34" s="18">
        <v>6377955.7599999998</v>
      </c>
      <c r="I34" s="18">
        <v>2689346.63</v>
      </c>
      <c r="J34" s="31">
        <f>SUM(J18:J33)</f>
        <v>13556315.229999999</v>
      </c>
      <c r="K34" s="18">
        <f t="shared" ref="K34:N34" si="9">SUM(K18:K33)</f>
        <v>3590156.9539999994</v>
      </c>
      <c r="L34" s="18">
        <f t="shared" si="9"/>
        <v>3590156.9539999994</v>
      </c>
      <c r="M34" s="18">
        <f t="shared" si="9"/>
        <v>3590156.9539999994</v>
      </c>
      <c r="N34" s="18">
        <f t="shared" si="9"/>
        <v>3590156.9539999994</v>
      </c>
      <c r="O34" s="18">
        <f>SUM(O18:O33)</f>
        <v>3590156.9539999994</v>
      </c>
      <c r="P34" s="31">
        <f>SUM(C34:O34)-J34</f>
        <v>31507099.999999993</v>
      </c>
      <c r="Q34" s="40"/>
      <c r="R34" s="42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" si="10">F34+F17+F5</f>
        <v>5240232.1500000004</v>
      </c>
      <c r="G35" s="19">
        <f>G34+G17+G5</f>
        <v>6310107.8300000001</v>
      </c>
      <c r="H35" s="19">
        <f>H34+H17+H5</f>
        <v>12523191.02</v>
      </c>
      <c r="I35" s="19">
        <f>I34+I17+I5</f>
        <v>7325898.46</v>
      </c>
      <c r="J35" s="31">
        <f>SUM(C35:I35)</f>
        <v>62089571.259999998</v>
      </c>
      <c r="K35" s="19">
        <f t="shared" ref="K35:O35" si="11">K34+K17+K5</f>
        <v>11964987.547999999</v>
      </c>
      <c r="L35" s="19">
        <f t="shared" si="11"/>
        <v>11964987.547999999</v>
      </c>
      <c r="M35" s="19">
        <f t="shared" si="11"/>
        <v>11964987.547999999</v>
      </c>
      <c r="N35" s="19">
        <f t="shared" si="11"/>
        <v>11964987.547999999</v>
      </c>
      <c r="O35" s="19">
        <f t="shared" si="11"/>
        <v>11964987.547999999</v>
      </c>
      <c r="P35" s="32">
        <f>P34+P17+P5</f>
        <v>121914509</v>
      </c>
      <c r="Q35" s="41"/>
      <c r="R35" s="42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17"/>
      <c r="I36" s="17"/>
      <c r="J36" s="30"/>
      <c r="K36" s="17"/>
      <c r="L36" s="17"/>
      <c r="M36" s="17"/>
      <c r="N36" s="17"/>
      <c r="O36" s="17"/>
      <c r="P36" s="30"/>
      <c r="R36" s="42">
        <f t="shared" si="5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4238406.0999999996</v>
      </c>
      <c r="H37" s="18">
        <v>4562212.7</v>
      </c>
      <c r="I37" s="18">
        <v>5105334.13</v>
      </c>
      <c r="J37" s="31">
        <f t="shared" ref="J37:J45" si="12">SUM(C37:I37)</f>
        <v>22288861.469999999</v>
      </c>
      <c r="K37" s="18">
        <f t="shared" ref="K37:N42" si="13">($Q37-$J37)/6</f>
        <v>4257900.5883333338</v>
      </c>
      <c r="L37" s="18">
        <f t="shared" si="13"/>
        <v>4257900.5883333338</v>
      </c>
      <c r="M37" s="18">
        <f t="shared" si="13"/>
        <v>4257900.5883333338</v>
      </c>
      <c r="N37" s="18">
        <f t="shared" si="13"/>
        <v>4257900.5883333338</v>
      </c>
      <c r="O37" s="18">
        <f t="shared" ref="O37:O42" si="14">($Q37-$J37)/6*2</f>
        <v>8515801.1766666677</v>
      </c>
      <c r="P37" s="31">
        <f t="shared" ref="P37:P42" si="15">SUM(C37:O37)-J37</f>
        <v>47836264.999999985</v>
      </c>
      <c r="Q37" s="40">
        <v>47836265</v>
      </c>
      <c r="R37" s="42">
        <f t="shared" si="5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18">
        <v>1963188.44</v>
      </c>
      <c r="I38" s="18">
        <v>2029692.74</v>
      </c>
      <c r="J38" s="31">
        <f t="shared" si="12"/>
        <v>11845825.91</v>
      </c>
      <c r="K38" s="18">
        <f t="shared" si="13"/>
        <v>1985858.8483333334</v>
      </c>
      <c r="L38" s="18">
        <f t="shared" si="13"/>
        <v>1985858.8483333334</v>
      </c>
      <c r="M38" s="18">
        <f t="shared" si="13"/>
        <v>1985858.8483333334</v>
      </c>
      <c r="N38" s="18">
        <f t="shared" si="13"/>
        <v>1985858.8483333334</v>
      </c>
      <c r="O38" s="18">
        <f t="shared" si="14"/>
        <v>3971717.6966666668</v>
      </c>
      <c r="P38" s="31">
        <f t="shared" si="15"/>
        <v>23760978.999999996</v>
      </c>
      <c r="Q38" s="40">
        <v>23760979</v>
      </c>
      <c r="R38" s="42">
        <f t="shared" si="5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2594100.08</v>
      </c>
      <c r="H39" s="18">
        <v>3229447.09</v>
      </c>
      <c r="I39" s="18">
        <v>2740787.63</v>
      </c>
      <c r="J39" s="31">
        <f t="shared" si="12"/>
        <v>13465076.719999991</v>
      </c>
      <c r="K39" s="18">
        <f t="shared" si="13"/>
        <v>3117776.8800000013</v>
      </c>
      <c r="L39" s="18">
        <f t="shared" si="13"/>
        <v>3117776.8800000013</v>
      </c>
      <c r="M39" s="18">
        <f t="shared" si="13"/>
        <v>3117776.8800000013</v>
      </c>
      <c r="N39" s="18">
        <f t="shared" si="13"/>
        <v>3117776.8800000013</v>
      </c>
      <c r="O39" s="18">
        <f t="shared" si="14"/>
        <v>6235553.7600000026</v>
      </c>
      <c r="P39" s="31">
        <f t="shared" si="15"/>
        <v>32171738.000000007</v>
      </c>
      <c r="Q39" s="40">
        <v>32171738</v>
      </c>
      <c r="R39" s="42">
        <f t="shared" si="5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18">
        <v>22594.92</v>
      </c>
      <c r="I40" s="18">
        <v>54903.02</v>
      </c>
      <c r="J40" s="31">
        <f t="shared" si="12"/>
        <v>217234.4</v>
      </c>
      <c r="K40" s="18">
        <f t="shared" si="13"/>
        <v>32863.1</v>
      </c>
      <c r="L40" s="18">
        <f t="shared" si="13"/>
        <v>32863.1</v>
      </c>
      <c r="M40" s="18">
        <f t="shared" si="13"/>
        <v>32863.1</v>
      </c>
      <c r="N40" s="18">
        <f t="shared" si="13"/>
        <v>32863.1</v>
      </c>
      <c r="O40" s="18">
        <f t="shared" si="14"/>
        <v>65726.2</v>
      </c>
      <c r="P40" s="31">
        <f t="shared" si="15"/>
        <v>414412.99999999988</v>
      </c>
      <c r="Q40" s="40">
        <v>414413</v>
      </c>
      <c r="R40" s="42">
        <f t="shared" si="5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1152480.68</v>
      </c>
      <c r="H41" s="18">
        <v>864429.92</v>
      </c>
      <c r="I41" s="18">
        <v>1146246.82</v>
      </c>
      <c r="J41" s="31">
        <f t="shared" si="12"/>
        <v>5842607.9000000004</v>
      </c>
      <c r="K41" s="18">
        <f t="shared" si="13"/>
        <v>1082755.5166666666</v>
      </c>
      <c r="L41" s="18">
        <f t="shared" si="13"/>
        <v>1082755.5166666666</v>
      </c>
      <c r="M41" s="18">
        <f t="shared" si="13"/>
        <v>1082755.5166666666</v>
      </c>
      <c r="N41" s="18">
        <f t="shared" si="13"/>
        <v>1082755.5166666666</v>
      </c>
      <c r="O41" s="18">
        <f t="shared" si="14"/>
        <v>2165511.0333333332</v>
      </c>
      <c r="P41" s="31">
        <f t="shared" si="15"/>
        <v>12339140.999999998</v>
      </c>
      <c r="Q41" s="40">
        <v>12339141</v>
      </c>
      <c r="R41" s="42">
        <f t="shared" si="5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18">
        <v>1505.18</v>
      </c>
      <c r="I42" s="18">
        <v>16450.96</v>
      </c>
      <c r="J42" s="31">
        <f t="shared" si="12"/>
        <v>6016.3000000000011</v>
      </c>
      <c r="K42" s="18">
        <f t="shared" si="13"/>
        <v>53655.616666666669</v>
      </c>
      <c r="L42" s="18">
        <f t="shared" si="13"/>
        <v>53655.616666666669</v>
      </c>
      <c r="M42" s="18">
        <f t="shared" si="13"/>
        <v>53655.616666666669</v>
      </c>
      <c r="N42" s="18">
        <f t="shared" si="13"/>
        <v>53655.616666666669</v>
      </c>
      <c r="O42" s="18">
        <f t="shared" si="14"/>
        <v>107311.23333333334</v>
      </c>
      <c r="P42" s="31">
        <f t="shared" si="15"/>
        <v>327950.00000000006</v>
      </c>
      <c r="Q42" s="40">
        <v>327950</v>
      </c>
      <c r="R42" s="42">
        <f t="shared" si="5"/>
        <v>0</v>
      </c>
    </row>
    <row r="43" spans="1:18" s="1" customFormat="1" ht="19.7" customHeight="1" x14ac:dyDescent="0.2">
      <c r="A43" s="49" t="s">
        <v>126</v>
      </c>
      <c r="B43" s="49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18">
        <v>0</v>
      </c>
      <c r="I43" s="18"/>
      <c r="J43" s="31">
        <f t="shared" si="12"/>
        <v>1750000</v>
      </c>
      <c r="K43" s="18"/>
      <c r="L43" s="18"/>
      <c r="M43" s="18"/>
      <c r="N43" s="18"/>
      <c r="O43" s="18"/>
      <c r="P43" s="31"/>
      <c r="Q43" s="40"/>
      <c r="R43" s="42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18">
        <v>347578.42</v>
      </c>
      <c r="I44" s="18">
        <v>-345157.14</v>
      </c>
      <c r="J44" s="31">
        <f t="shared" si="12"/>
        <v>317000.70000000007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31">
        <f>SUM(C44:O44)-J44</f>
        <v>317000.70000000007</v>
      </c>
      <c r="Q44" s="40">
        <v>0</v>
      </c>
      <c r="R44" s="42">
        <f>P44-Q44</f>
        <v>317000.70000000007</v>
      </c>
    </row>
    <row r="45" spans="1:18" s="1" customFormat="1" ht="19.7" customHeight="1" thickBot="1" x14ac:dyDescent="0.25">
      <c r="A45" s="8" t="s">
        <v>40</v>
      </c>
      <c r="B45" s="11"/>
      <c r="C45" s="19">
        <f t="shared" ref="C45:I45" si="16">SUM(C37:C44)</f>
        <v>1369828.38</v>
      </c>
      <c r="D45" s="19">
        <f t="shared" si="16"/>
        <v>6080445.1800000006</v>
      </c>
      <c r="E45" s="19">
        <f t="shared" si="16"/>
        <v>5127705.7400000021</v>
      </c>
      <c r="F45" s="19">
        <f t="shared" si="16"/>
        <v>9974039.2999999896</v>
      </c>
      <c r="G45" s="19">
        <f t="shared" si="16"/>
        <v>11441389.970000001</v>
      </c>
      <c r="H45" s="19">
        <f t="shared" si="16"/>
        <v>10990956.67</v>
      </c>
      <c r="I45" s="19">
        <f t="shared" si="16"/>
        <v>10748258.16</v>
      </c>
      <c r="J45" s="31">
        <f t="shared" si="12"/>
        <v>55732623.399999991</v>
      </c>
      <c r="K45" s="19">
        <f t="shared" ref="K45:O45" si="17">SUM(K37:K44)</f>
        <v>10530810.550000001</v>
      </c>
      <c r="L45" s="19">
        <f t="shared" si="17"/>
        <v>10530810.550000001</v>
      </c>
      <c r="M45" s="19">
        <f t="shared" si="17"/>
        <v>10530810.550000001</v>
      </c>
      <c r="N45" s="19">
        <f t="shared" si="17"/>
        <v>10530810.550000001</v>
      </c>
      <c r="O45" s="19">
        <f t="shared" si="17"/>
        <v>21061621.100000001</v>
      </c>
      <c r="P45" s="32">
        <f>SUM(P37:P44)</f>
        <v>117167486.7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17"/>
      <c r="I46" s="17"/>
      <c r="J46" s="30"/>
      <c r="K46" s="17"/>
      <c r="L46" s="17"/>
      <c r="M46" s="17"/>
      <c r="N46" s="17"/>
      <c r="O46" s="17"/>
      <c r="P46" s="30"/>
    </row>
    <row r="47" spans="1:18" s="1" customFormat="1" ht="19.7" customHeight="1" x14ac:dyDescent="0.2">
      <c r="A47" s="3" t="s">
        <v>41</v>
      </c>
      <c r="B47" s="5"/>
      <c r="C47" s="16">
        <f t="shared" ref="C47:O47" si="18">C35-C45</f>
        <v>3672284.8500000006</v>
      </c>
      <c r="D47" s="16">
        <f t="shared" si="18"/>
        <v>1640437.4699999997</v>
      </c>
      <c r="E47" s="16">
        <f t="shared" ref="E47:J47" si="19">E35-E45</f>
        <v>12799440.179999996</v>
      </c>
      <c r="F47" s="16">
        <f t="shared" si="19"/>
        <v>-4733807.1499999892</v>
      </c>
      <c r="G47" s="16">
        <f t="shared" si="19"/>
        <v>-5131282.1400000006</v>
      </c>
      <c r="H47" s="16">
        <f t="shared" si="19"/>
        <v>1532234.3499999996</v>
      </c>
      <c r="I47" s="16">
        <f t="shared" si="19"/>
        <v>-3422359.7</v>
      </c>
      <c r="J47" s="33">
        <f t="shared" si="19"/>
        <v>6356947.8600000069</v>
      </c>
      <c r="K47" s="16">
        <f t="shared" si="18"/>
        <v>1434176.9979999978</v>
      </c>
      <c r="L47" s="16">
        <f t="shared" si="18"/>
        <v>1434176.9979999978</v>
      </c>
      <c r="M47" s="16">
        <f t="shared" si="18"/>
        <v>1434176.9979999978</v>
      </c>
      <c r="N47" s="16">
        <f t="shared" si="18"/>
        <v>1434176.9979999978</v>
      </c>
      <c r="O47" s="16">
        <f t="shared" si="18"/>
        <v>-9096633.5520000029</v>
      </c>
      <c r="P47" s="26">
        <f>SUM(C47:O47)-J47</f>
        <v>2997022.2999999952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17"/>
      <c r="I48" s="17"/>
      <c r="J48" s="30"/>
      <c r="K48" s="17"/>
      <c r="L48" s="17"/>
      <c r="M48" s="17"/>
      <c r="N48" s="17"/>
      <c r="O48" s="17"/>
      <c r="P48" s="30"/>
    </row>
    <row r="49" spans="1:16" s="1" customFormat="1" ht="19.7" hidden="1" customHeight="1" x14ac:dyDescent="0.2">
      <c r="A49" s="51" t="s">
        <v>42</v>
      </c>
      <c r="B49" s="6"/>
      <c r="C49" s="17"/>
      <c r="D49" s="17"/>
      <c r="E49" s="17"/>
      <c r="F49" s="17"/>
      <c r="G49" s="17"/>
      <c r="H49" s="17"/>
      <c r="I49" s="17"/>
      <c r="J49" s="30"/>
      <c r="K49" s="17"/>
      <c r="L49" s="17"/>
      <c r="M49" s="17"/>
      <c r="N49" s="17"/>
      <c r="O49" s="17"/>
      <c r="P49" s="30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31"/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18">
        <v>-1523150.5</v>
      </c>
      <c r="I51" s="18">
        <v>-323565.33</v>
      </c>
      <c r="J51" s="31"/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18">
        <v>238941.87</v>
      </c>
      <c r="I52" s="18">
        <v>8862.58</v>
      </c>
      <c r="J52" s="31"/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30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31"/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51" t="s">
        <v>51</v>
      </c>
      <c r="B54" s="6"/>
      <c r="C54" s="17"/>
      <c r="D54" s="17"/>
      <c r="E54" s="17"/>
      <c r="F54" s="17"/>
      <c r="G54" s="17"/>
      <c r="H54" s="17"/>
      <c r="I54" s="17"/>
      <c r="J54" s="31"/>
      <c r="K54" s="17"/>
      <c r="L54" s="17"/>
      <c r="M54" s="17"/>
      <c r="N54" s="17"/>
      <c r="O54" s="17"/>
      <c r="P54" s="30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31"/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180442.13</v>
      </c>
      <c r="H56" s="18">
        <v>419586.19000000099</v>
      </c>
      <c r="I56" s="18">
        <v>-73969.31</v>
      </c>
      <c r="J56" s="31"/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-94198.96</v>
      </c>
      <c r="H57" s="18">
        <v>1857392.91</v>
      </c>
      <c r="I57" s="18">
        <v>404461.11</v>
      </c>
      <c r="J57" s="31"/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31"/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31"/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31"/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31"/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30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31"/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30"/>
    </row>
    <row r="63" spans="1:16" s="1" customFormat="1" ht="19.7" customHeight="1" thickBot="1" x14ac:dyDescent="0.25">
      <c r="A63" s="8" t="s">
        <v>66</v>
      </c>
      <c r="B63" s="11"/>
      <c r="C63" s="19">
        <f t="shared" ref="C63:I63" si="20">SUM(C50:C62)</f>
        <v>-10071021.609999999</v>
      </c>
      <c r="D63" s="19">
        <f t="shared" si="20"/>
        <v>-2775027.34</v>
      </c>
      <c r="E63" s="19">
        <f t="shared" si="20"/>
        <v>206991.87</v>
      </c>
      <c r="F63" s="19">
        <f t="shared" si="20"/>
        <v>1193721</v>
      </c>
      <c r="G63" s="19">
        <f t="shared" si="20"/>
        <v>279063.77</v>
      </c>
      <c r="H63" s="19">
        <f t="shared" si="20"/>
        <v>992770.47000000102</v>
      </c>
      <c r="I63" s="19">
        <f t="shared" si="20"/>
        <v>15789.049999999988</v>
      </c>
      <c r="J63" s="32"/>
      <c r="K63" s="19">
        <v>-1200000</v>
      </c>
      <c r="L63" s="19">
        <v>-1200000</v>
      </c>
      <c r="M63" s="19">
        <v>-1200000</v>
      </c>
      <c r="N63" s="19">
        <v>-1200000</v>
      </c>
      <c r="O63" s="19">
        <v>-1200000</v>
      </c>
      <c r="P63" s="38"/>
    </row>
    <row r="64" spans="1:16" s="1" customFormat="1" ht="18.2" customHeight="1" x14ac:dyDescent="0.2">
      <c r="A64" s="6"/>
      <c r="B64" s="6"/>
      <c r="C64" s="17"/>
      <c r="D64" s="17"/>
      <c r="E64" s="17"/>
      <c r="F64" s="17"/>
      <c r="G64" s="17"/>
      <c r="H64" s="17"/>
      <c r="I64" s="17"/>
      <c r="J64" s="30"/>
      <c r="K64" s="17"/>
      <c r="L64" s="17"/>
      <c r="M64" s="17"/>
      <c r="N64" s="17"/>
      <c r="O64" s="17"/>
      <c r="P64" s="30"/>
    </row>
    <row r="65" spans="1:16" s="1" customFormat="1" ht="19.7" customHeight="1" thickBot="1" x14ac:dyDescent="0.25">
      <c r="A65" s="13" t="s">
        <v>67</v>
      </c>
      <c r="B65" s="14"/>
      <c r="C65" s="20">
        <f t="shared" ref="C65:I65" si="21">C3+C47+C63</f>
        <v>17276325.860000003</v>
      </c>
      <c r="D65" s="20">
        <f t="shared" si="21"/>
        <v>16141735.990000002</v>
      </c>
      <c r="E65" s="20">
        <f t="shared" si="21"/>
        <v>29148168.039999999</v>
      </c>
      <c r="F65" s="20">
        <f t="shared" si="21"/>
        <v>25608081.890000008</v>
      </c>
      <c r="G65" s="20">
        <f t="shared" si="21"/>
        <v>20755863.520000007</v>
      </c>
      <c r="H65" s="20">
        <f t="shared" ref="H65" si="22">H3+H47+H63</f>
        <v>23280868.340000007</v>
      </c>
      <c r="I65" s="20">
        <f t="shared" si="21"/>
        <v>19874297.690000009</v>
      </c>
      <c r="J65" s="34"/>
      <c r="K65" s="20">
        <f>K3+K47+K63</f>
        <v>20108474.688000008</v>
      </c>
      <c r="L65" s="20">
        <f t="shared" ref="L65:N65" si="23">L3+L47+L63</f>
        <v>20342651.686000004</v>
      </c>
      <c r="M65" s="20">
        <f t="shared" si="23"/>
        <v>20576828.684</v>
      </c>
      <c r="N65" s="20">
        <f t="shared" si="23"/>
        <v>20811005.681999996</v>
      </c>
      <c r="O65" s="20">
        <f>O3+O47+O63</f>
        <v>10514372.129999993</v>
      </c>
      <c r="P65" s="39"/>
    </row>
    <row r="66" spans="1:16" s="1" customFormat="1" ht="28.7" customHeight="1" x14ac:dyDescent="0.2">
      <c r="C66" s="21"/>
      <c r="D66" s="21"/>
      <c r="E66" s="21"/>
      <c r="F66" s="21"/>
      <c r="G66" s="21"/>
      <c r="H66" s="21"/>
      <c r="I66" s="21"/>
      <c r="J66" s="35"/>
      <c r="K66" s="21"/>
      <c r="L66" s="21"/>
      <c r="M66" s="21"/>
      <c r="N66" s="21"/>
      <c r="O66" s="21"/>
      <c r="P66" s="21"/>
    </row>
  </sheetData>
  <sheetProtection algorithmName="SHA-512" hashValue="2HwuxNQNcuG2ydDDkX9TeWpznzj75uBReyodYSWN4uSR3OAOI1LQlt46JW52Ygh2UECikvLUAmU69cmcxq35GA==" saltValue="fZHmju/wVZ8P76+c8nHm6g==" spinCount="100000" sheet="1" objects="1" scenarios="1"/>
  <mergeCells count="1">
    <mergeCell ref="A1:B1"/>
  </mergeCells>
  <pageMargins left="0.7" right="0.7" top="0.75" bottom="0.75" header="0.3" footer="0.3"/>
  <pageSetup paperSize="9" scale="3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3AC7-3FE5-4657-B991-1CA6C3A6932F}">
  <sheetPr>
    <pageSetUpPr fitToPage="1"/>
  </sheetPr>
  <dimension ref="A1:R6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3" sqref="F13"/>
    </sheetView>
  </sheetViews>
  <sheetFormatPr defaultRowHeight="12.75" x14ac:dyDescent="0.2"/>
  <cols>
    <col min="1" max="1" width="35.5703125" customWidth="1"/>
    <col min="2" max="2" width="20" customWidth="1"/>
    <col min="3" max="8" width="20" style="22" customWidth="1"/>
    <col min="9" max="9" width="22.42578125" style="36" bestFit="1" customWidth="1"/>
    <col min="10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9" t="s">
        <v>0</v>
      </c>
      <c r="B1" s="69"/>
      <c r="C1" s="27"/>
      <c r="D1" s="27"/>
      <c r="E1" s="27" t="s">
        <v>1</v>
      </c>
      <c r="F1" s="27"/>
      <c r="G1" s="27"/>
      <c r="H1" s="27"/>
      <c r="I1" s="53"/>
      <c r="J1" s="15"/>
      <c r="K1" s="15"/>
      <c r="L1" s="15"/>
      <c r="M1" s="15"/>
      <c r="N1" s="15"/>
      <c r="O1" s="15"/>
      <c r="P1" s="54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55" t="s">
        <v>16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56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C65</f>
        <v>17276325.860000003</v>
      </c>
      <c r="E3" s="16">
        <f>D65</f>
        <v>16141735.990000002</v>
      </c>
      <c r="F3" s="16">
        <f>E65</f>
        <v>29148168.039999999</v>
      </c>
      <c r="G3" s="16">
        <f>F65</f>
        <v>25608081.890000008</v>
      </c>
      <c r="H3" s="16">
        <f>G65</f>
        <v>20755863.520000007</v>
      </c>
      <c r="I3" s="50" t="s">
        <v>130</v>
      </c>
      <c r="J3" s="16">
        <f>H65</f>
        <v>23280868.340000007</v>
      </c>
      <c r="K3" s="16">
        <f t="shared" ref="K3:O3" si="0">J65</f>
        <v>22661491.71619048</v>
      </c>
      <c r="L3" s="16">
        <f t="shared" si="0"/>
        <v>22042115.092380952</v>
      </c>
      <c r="M3" s="16">
        <f t="shared" si="0"/>
        <v>21422738.468571424</v>
      </c>
      <c r="N3" s="16">
        <f t="shared" si="0"/>
        <v>20803361.844761897</v>
      </c>
      <c r="O3" s="16">
        <f t="shared" si="0"/>
        <v>20183985.220952369</v>
      </c>
      <c r="P3" s="50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17"/>
      <c r="I4" s="57"/>
      <c r="J4" s="17"/>
      <c r="K4" s="17"/>
      <c r="L4" s="17"/>
      <c r="M4" s="17"/>
      <c r="N4" s="17"/>
      <c r="O4" s="17"/>
      <c r="P4" s="57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18">
        <v>0</v>
      </c>
      <c r="I5" s="58">
        <f t="shared" ref="I5:I16" si="1">SUM(C5:H5)</f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58">
        <f t="shared" ref="P5:P31" si="2">SUM(C5:O5)-I5</f>
        <v>0</v>
      </c>
    </row>
    <row r="6" spans="1:18" s="1" customFormat="1" ht="19.7" customHeight="1" x14ac:dyDescent="0.2">
      <c r="A6" s="47" t="s">
        <v>68</v>
      </c>
      <c r="B6" s="48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28">
        <v>2773191</v>
      </c>
      <c r="I6" s="58">
        <f t="shared" si="1"/>
        <v>28841179</v>
      </c>
      <c r="J6" s="28">
        <f t="shared" ref="J6:O16" si="3">($Q6-$I6)/6</f>
        <v>9331119.666666666</v>
      </c>
      <c r="K6" s="28">
        <f t="shared" si="3"/>
        <v>9331119.666666666</v>
      </c>
      <c r="L6" s="28">
        <f t="shared" si="3"/>
        <v>9331119.666666666</v>
      </c>
      <c r="M6" s="28">
        <f t="shared" si="3"/>
        <v>9331119.666666666</v>
      </c>
      <c r="N6" s="28">
        <f t="shared" si="3"/>
        <v>9331119.666666666</v>
      </c>
      <c r="O6" s="28">
        <f t="shared" si="3"/>
        <v>9331119.666666666</v>
      </c>
      <c r="P6" s="58">
        <f t="shared" si="2"/>
        <v>84827897.000000015</v>
      </c>
      <c r="Q6" s="59">
        <v>84827897</v>
      </c>
      <c r="R6" s="60">
        <f>P6-Q6</f>
        <v>0</v>
      </c>
    </row>
    <row r="7" spans="1:18" s="1" customFormat="1" ht="19.7" customHeight="1" x14ac:dyDescent="0.2">
      <c r="A7" s="47" t="s">
        <v>70</v>
      </c>
      <c r="B7" s="48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28">
        <v>89675</v>
      </c>
      <c r="I7" s="58">
        <f t="shared" si="1"/>
        <v>932626</v>
      </c>
      <c r="J7" s="28">
        <f t="shared" si="3"/>
        <v>143481</v>
      </c>
      <c r="K7" s="28">
        <f t="shared" si="3"/>
        <v>143481</v>
      </c>
      <c r="L7" s="28">
        <f t="shared" si="3"/>
        <v>143481</v>
      </c>
      <c r="M7" s="28">
        <f t="shared" si="3"/>
        <v>143481</v>
      </c>
      <c r="N7" s="28">
        <f t="shared" si="3"/>
        <v>143481</v>
      </c>
      <c r="O7" s="28">
        <f t="shared" si="3"/>
        <v>143481</v>
      </c>
      <c r="P7" s="58">
        <f t="shared" si="2"/>
        <v>1793512</v>
      </c>
      <c r="Q7" s="59">
        <v>1793512</v>
      </c>
      <c r="R7" s="60">
        <f t="shared" ref="R7:R44" si="4">P7-Q7</f>
        <v>0</v>
      </c>
    </row>
    <row r="8" spans="1:18" s="1" customFormat="1" ht="19.7" customHeight="1" x14ac:dyDescent="0.2">
      <c r="A8" s="47" t="s">
        <v>72</v>
      </c>
      <c r="B8" s="48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28">
        <v>0</v>
      </c>
      <c r="I8" s="58">
        <f t="shared" si="1"/>
        <v>10044979</v>
      </c>
      <c r="J8" s="28">
        <f t="shared" si="3"/>
        <v>-1674163.1666666667</v>
      </c>
      <c r="K8" s="28">
        <f t="shared" si="3"/>
        <v>-1674163.1666666667</v>
      </c>
      <c r="L8" s="28">
        <f t="shared" si="3"/>
        <v>-1674163.1666666667</v>
      </c>
      <c r="M8" s="28">
        <f t="shared" si="3"/>
        <v>-1674163.1666666667</v>
      </c>
      <c r="N8" s="28">
        <f t="shared" si="3"/>
        <v>-1674163.1666666667</v>
      </c>
      <c r="O8" s="28">
        <f t="shared" si="3"/>
        <v>-1674163.1666666667</v>
      </c>
      <c r="P8" s="58">
        <f t="shared" si="2"/>
        <v>0</v>
      </c>
      <c r="Q8" s="59">
        <v>0</v>
      </c>
      <c r="R8" s="60">
        <f t="shared" si="4"/>
        <v>0</v>
      </c>
    </row>
    <row r="9" spans="1:18" s="1" customFormat="1" ht="19.7" customHeight="1" x14ac:dyDescent="0.2">
      <c r="A9" s="47" t="s">
        <v>74</v>
      </c>
      <c r="B9" s="48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28">
        <v>16008</v>
      </c>
      <c r="I9" s="58">
        <f t="shared" si="1"/>
        <v>166488</v>
      </c>
      <c r="J9" s="28">
        <f t="shared" si="3"/>
        <v>23918.666666666668</v>
      </c>
      <c r="K9" s="28">
        <f t="shared" si="3"/>
        <v>23918.666666666668</v>
      </c>
      <c r="L9" s="28">
        <f t="shared" si="3"/>
        <v>23918.666666666668</v>
      </c>
      <c r="M9" s="28">
        <f t="shared" si="3"/>
        <v>23918.666666666668</v>
      </c>
      <c r="N9" s="28">
        <f t="shared" si="3"/>
        <v>23918.666666666668</v>
      </c>
      <c r="O9" s="28">
        <f t="shared" si="3"/>
        <v>23918.666666666668</v>
      </c>
      <c r="P9" s="58">
        <f t="shared" si="2"/>
        <v>310000.00000000012</v>
      </c>
      <c r="Q9" s="59">
        <v>310000</v>
      </c>
      <c r="R9" s="60">
        <f t="shared" si="4"/>
        <v>0</v>
      </c>
    </row>
    <row r="10" spans="1:18" s="1" customFormat="1" ht="19.7" customHeight="1" x14ac:dyDescent="0.2">
      <c r="A10" s="47" t="s">
        <v>129</v>
      </c>
      <c r="B10" s="48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58">
        <f t="shared" si="1"/>
        <v>0</v>
      </c>
      <c r="J10" s="28">
        <f t="shared" si="3"/>
        <v>58333.333333333336</v>
      </c>
      <c r="K10" s="28">
        <f t="shared" si="3"/>
        <v>58333.333333333336</v>
      </c>
      <c r="L10" s="28">
        <f t="shared" si="3"/>
        <v>58333.333333333336</v>
      </c>
      <c r="M10" s="28">
        <f t="shared" si="3"/>
        <v>58333.333333333336</v>
      </c>
      <c r="N10" s="28">
        <f t="shared" si="3"/>
        <v>58333.333333333336</v>
      </c>
      <c r="O10" s="28">
        <f t="shared" si="3"/>
        <v>58333.333333333336</v>
      </c>
      <c r="P10" s="58">
        <f t="shared" si="2"/>
        <v>350000</v>
      </c>
      <c r="Q10" s="59">
        <v>350000</v>
      </c>
      <c r="R10" s="60">
        <f t="shared" si="4"/>
        <v>0</v>
      </c>
    </row>
    <row r="11" spans="1:18" s="1" customFormat="1" ht="19.7" customHeight="1" x14ac:dyDescent="0.2">
      <c r="A11" s="47" t="s">
        <v>77</v>
      </c>
      <c r="B11" s="48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28">
        <v>6967</v>
      </c>
      <c r="I11" s="58">
        <f t="shared" si="1"/>
        <v>72453</v>
      </c>
      <c r="J11" s="28">
        <f t="shared" si="3"/>
        <v>12924.5</v>
      </c>
      <c r="K11" s="28">
        <f t="shared" si="3"/>
        <v>12924.5</v>
      </c>
      <c r="L11" s="28">
        <f t="shared" si="3"/>
        <v>12924.5</v>
      </c>
      <c r="M11" s="28">
        <f t="shared" si="3"/>
        <v>12924.5</v>
      </c>
      <c r="N11" s="28">
        <f t="shared" si="3"/>
        <v>12924.5</v>
      </c>
      <c r="O11" s="28">
        <f t="shared" si="3"/>
        <v>12924.5</v>
      </c>
      <c r="P11" s="58">
        <f t="shared" si="2"/>
        <v>150000</v>
      </c>
      <c r="Q11" s="59">
        <v>150000</v>
      </c>
      <c r="R11" s="60">
        <f>P11-Q11</f>
        <v>0</v>
      </c>
    </row>
    <row r="12" spans="1:18" s="1" customFormat="1" ht="19.7" customHeight="1" x14ac:dyDescent="0.2">
      <c r="A12" s="47" t="s">
        <v>79</v>
      </c>
      <c r="B12" s="48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2051453</v>
      </c>
      <c r="I12" s="58">
        <f t="shared" si="1"/>
        <v>2051453</v>
      </c>
      <c r="J12" s="28">
        <f t="shared" si="3"/>
        <v>-337575.5</v>
      </c>
      <c r="K12" s="28">
        <f t="shared" si="3"/>
        <v>-337575.5</v>
      </c>
      <c r="L12" s="28">
        <f t="shared" si="3"/>
        <v>-337575.5</v>
      </c>
      <c r="M12" s="28">
        <f t="shared" si="3"/>
        <v>-337575.5</v>
      </c>
      <c r="N12" s="28">
        <f t="shared" si="3"/>
        <v>-337575.5</v>
      </c>
      <c r="O12" s="28">
        <f t="shared" si="3"/>
        <v>-337575.5</v>
      </c>
      <c r="P12" s="58">
        <f t="shared" si="2"/>
        <v>26000</v>
      </c>
      <c r="Q12" s="59">
        <v>26000</v>
      </c>
      <c r="R12" s="60">
        <f t="shared" si="4"/>
        <v>0</v>
      </c>
    </row>
    <row r="13" spans="1:18" s="1" customFormat="1" ht="19.7" customHeight="1" x14ac:dyDescent="0.2">
      <c r="A13" s="47" t="s">
        <v>81</v>
      </c>
      <c r="B13" s="48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8231.5</v>
      </c>
      <c r="I13" s="58">
        <f t="shared" si="1"/>
        <v>8231.5</v>
      </c>
      <c r="J13" s="28">
        <f t="shared" si="3"/>
        <v>-1371.9166666666667</v>
      </c>
      <c r="K13" s="28">
        <f t="shared" si="3"/>
        <v>-1371.9166666666667</v>
      </c>
      <c r="L13" s="28">
        <f t="shared" si="3"/>
        <v>-1371.9166666666667</v>
      </c>
      <c r="M13" s="28">
        <f t="shared" si="3"/>
        <v>-1371.9166666666667</v>
      </c>
      <c r="N13" s="28">
        <f t="shared" si="3"/>
        <v>-1371.9166666666667</v>
      </c>
      <c r="O13" s="28">
        <f t="shared" si="3"/>
        <v>-1371.9166666666667</v>
      </c>
      <c r="P13" s="58">
        <f t="shared" si="2"/>
        <v>0</v>
      </c>
      <c r="Q13" s="59">
        <v>0</v>
      </c>
      <c r="R13" s="60">
        <f t="shared" si="4"/>
        <v>0</v>
      </c>
    </row>
    <row r="14" spans="1:18" s="1" customFormat="1" ht="19.7" customHeight="1" x14ac:dyDescent="0.2">
      <c r="A14" s="47" t="s">
        <v>83</v>
      </c>
      <c r="B14" s="48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28">
        <v>1199709.76</v>
      </c>
      <c r="I14" s="58">
        <f t="shared" si="1"/>
        <v>1300498.7000000002</v>
      </c>
      <c r="J14" s="28">
        <f t="shared" si="3"/>
        <v>199916.8833333333</v>
      </c>
      <c r="K14" s="28">
        <f t="shared" si="3"/>
        <v>199916.8833333333</v>
      </c>
      <c r="L14" s="28">
        <f t="shared" si="3"/>
        <v>199916.8833333333</v>
      </c>
      <c r="M14" s="28">
        <f t="shared" si="3"/>
        <v>199916.8833333333</v>
      </c>
      <c r="N14" s="28">
        <f t="shared" si="3"/>
        <v>199916.8833333333</v>
      </c>
      <c r="O14" s="28">
        <f t="shared" si="3"/>
        <v>199916.8833333333</v>
      </c>
      <c r="P14" s="58">
        <f t="shared" si="2"/>
        <v>2500000</v>
      </c>
      <c r="Q14" s="59">
        <v>2500000</v>
      </c>
      <c r="R14" s="60">
        <f t="shared" si="4"/>
        <v>0</v>
      </c>
    </row>
    <row r="15" spans="1:18" s="1" customFormat="1" ht="19.7" customHeight="1" x14ac:dyDescent="0.2">
      <c r="A15" s="47" t="s">
        <v>85</v>
      </c>
      <c r="B15" s="48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58">
        <f t="shared" si="1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58">
        <f t="shared" si="2"/>
        <v>0</v>
      </c>
      <c r="Q15" s="59">
        <v>0</v>
      </c>
      <c r="R15" s="60">
        <f t="shared" si="4"/>
        <v>0</v>
      </c>
    </row>
    <row r="16" spans="1:18" s="1" customFormat="1" ht="19.7" customHeight="1" x14ac:dyDescent="0.2">
      <c r="A16" s="47" t="s">
        <v>87</v>
      </c>
      <c r="B16" s="48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28">
        <v>0</v>
      </c>
      <c r="I16" s="58">
        <f t="shared" si="1"/>
        <v>478796</v>
      </c>
      <c r="J16" s="28">
        <f t="shared" si="3"/>
        <v>-4799.333333333333</v>
      </c>
      <c r="K16" s="28">
        <f t="shared" si="3"/>
        <v>-4799.333333333333</v>
      </c>
      <c r="L16" s="28">
        <f t="shared" si="3"/>
        <v>-4799.333333333333</v>
      </c>
      <c r="M16" s="28">
        <f t="shared" si="3"/>
        <v>-4799.333333333333</v>
      </c>
      <c r="N16" s="28">
        <f t="shared" si="3"/>
        <v>-4799.333333333333</v>
      </c>
      <c r="O16" s="28">
        <f t="shared" si="3"/>
        <v>-4799.333333333333</v>
      </c>
      <c r="P16" s="58">
        <f t="shared" si="2"/>
        <v>449999.99999999977</v>
      </c>
      <c r="Q16" s="59">
        <v>450000</v>
      </c>
      <c r="R16" s="60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v>4617346</v>
      </c>
      <c r="D17" s="18">
        <v>4617345</v>
      </c>
      <c r="E17" s="18">
        <v>17659330.199999999</v>
      </c>
      <c r="F17" s="18">
        <v>5184138.74</v>
      </c>
      <c r="G17" s="18">
        <v>5673309</v>
      </c>
      <c r="H17" s="18">
        <v>6145235.2599999998</v>
      </c>
      <c r="I17" s="58">
        <f>SUM(I6:I16)</f>
        <v>43896704.200000003</v>
      </c>
      <c r="J17" s="18">
        <f t="shared" ref="J17:O17" si="5">SUM(J6:J16)</f>
        <v>7751784.1333333319</v>
      </c>
      <c r="K17" s="18">
        <f t="shared" si="5"/>
        <v>7751784.1333333319</v>
      </c>
      <c r="L17" s="18">
        <f t="shared" si="5"/>
        <v>7751784.1333333319</v>
      </c>
      <c r="M17" s="18">
        <f t="shared" si="5"/>
        <v>7751784.1333333319</v>
      </c>
      <c r="N17" s="18">
        <f t="shared" si="5"/>
        <v>7751784.1333333319</v>
      </c>
      <c r="O17" s="18">
        <f t="shared" si="5"/>
        <v>7751784.1333333319</v>
      </c>
      <c r="P17" s="58">
        <f t="shared" si="2"/>
        <v>90407408.999999955</v>
      </c>
      <c r="Q17" s="59"/>
      <c r="R17" s="60"/>
    </row>
    <row r="18" spans="1:18" s="1" customFormat="1" ht="19.7" customHeight="1" x14ac:dyDescent="0.2">
      <c r="A18" s="47" t="s">
        <v>89</v>
      </c>
      <c r="B18" s="48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5657380.1799999997</v>
      </c>
      <c r="I18" s="58">
        <f t="shared" ref="I18:I31" si="6">SUM(C18:H18)</f>
        <v>5657380.1799999997</v>
      </c>
      <c r="J18" s="28">
        <f t="shared" ref="J18:O31" si="7">($Q18-$I18)/6</f>
        <v>1390436.6366666667</v>
      </c>
      <c r="K18" s="28">
        <f t="shared" si="7"/>
        <v>1390436.6366666667</v>
      </c>
      <c r="L18" s="28">
        <f t="shared" si="7"/>
        <v>1390436.6366666667</v>
      </c>
      <c r="M18" s="28">
        <f t="shared" si="7"/>
        <v>1390436.6366666667</v>
      </c>
      <c r="N18" s="28">
        <f t="shared" si="7"/>
        <v>1390436.6366666667</v>
      </c>
      <c r="O18" s="28">
        <f t="shared" si="7"/>
        <v>1390436.6366666667</v>
      </c>
      <c r="P18" s="58">
        <f t="shared" si="2"/>
        <v>14000000</v>
      </c>
      <c r="Q18" s="59">
        <v>14000000</v>
      </c>
      <c r="R18" s="60">
        <f t="shared" si="4"/>
        <v>0</v>
      </c>
    </row>
    <row r="19" spans="1:18" s="1" customFormat="1" ht="19.7" customHeight="1" x14ac:dyDescent="0.2">
      <c r="A19" s="47" t="s">
        <v>91</v>
      </c>
      <c r="B19" s="48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28">
        <v>2325.27</v>
      </c>
      <c r="I19" s="58">
        <f t="shared" si="6"/>
        <v>134807.87999999998</v>
      </c>
      <c r="J19" s="28">
        <f t="shared" si="7"/>
        <v>24198.686666666672</v>
      </c>
      <c r="K19" s="28">
        <f t="shared" si="7"/>
        <v>24198.686666666672</v>
      </c>
      <c r="L19" s="28">
        <f t="shared" si="7"/>
        <v>24198.686666666672</v>
      </c>
      <c r="M19" s="28">
        <f t="shared" si="7"/>
        <v>24198.686666666672</v>
      </c>
      <c r="N19" s="28">
        <f t="shared" si="7"/>
        <v>24198.686666666672</v>
      </c>
      <c r="O19" s="28">
        <f t="shared" si="7"/>
        <v>24198.686666666672</v>
      </c>
      <c r="P19" s="58">
        <f t="shared" si="2"/>
        <v>279999.99999999988</v>
      </c>
      <c r="Q19" s="59">
        <v>280000</v>
      </c>
      <c r="R19" s="60">
        <f t="shared" si="4"/>
        <v>0</v>
      </c>
    </row>
    <row r="20" spans="1:18" s="1" customFormat="1" ht="19.7" customHeight="1" x14ac:dyDescent="0.2">
      <c r="A20" s="47" t="s">
        <v>93</v>
      </c>
      <c r="B20" s="48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28">
        <v>0</v>
      </c>
      <c r="I20" s="58">
        <f t="shared" si="6"/>
        <v>410264.3</v>
      </c>
      <c r="J20" s="28">
        <f t="shared" si="7"/>
        <v>-31710.716666666664</v>
      </c>
      <c r="K20" s="28">
        <f t="shared" si="7"/>
        <v>-31710.716666666664</v>
      </c>
      <c r="L20" s="28">
        <f t="shared" si="7"/>
        <v>-31710.716666666664</v>
      </c>
      <c r="M20" s="28">
        <f t="shared" si="7"/>
        <v>-31710.716666666664</v>
      </c>
      <c r="N20" s="28">
        <f t="shared" si="7"/>
        <v>-31710.716666666664</v>
      </c>
      <c r="O20" s="28">
        <f t="shared" si="7"/>
        <v>-31710.716666666664</v>
      </c>
      <c r="P20" s="58">
        <f t="shared" si="2"/>
        <v>219999.99999999994</v>
      </c>
      <c r="Q20" s="59">
        <v>220000</v>
      </c>
      <c r="R20" s="60">
        <f t="shared" si="4"/>
        <v>0</v>
      </c>
    </row>
    <row r="21" spans="1:18" s="1" customFormat="1" ht="19.7" customHeight="1" x14ac:dyDescent="0.2">
      <c r="A21" s="47" t="s">
        <v>95</v>
      </c>
      <c r="B21" s="48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28">
        <v>92907.790000000008</v>
      </c>
      <c r="I21" s="58">
        <f t="shared" si="6"/>
        <v>485040.33999999997</v>
      </c>
      <c r="J21" s="28">
        <f t="shared" si="7"/>
        <v>-47506.723333333328</v>
      </c>
      <c r="K21" s="28">
        <f t="shared" si="7"/>
        <v>-47506.723333333328</v>
      </c>
      <c r="L21" s="28">
        <f t="shared" si="7"/>
        <v>-47506.723333333328</v>
      </c>
      <c r="M21" s="28">
        <f t="shared" si="7"/>
        <v>-47506.723333333328</v>
      </c>
      <c r="N21" s="28">
        <f t="shared" si="7"/>
        <v>-47506.723333333328</v>
      </c>
      <c r="O21" s="28">
        <f t="shared" si="7"/>
        <v>-47506.723333333328</v>
      </c>
      <c r="P21" s="58">
        <f t="shared" si="2"/>
        <v>199999.99999999965</v>
      </c>
      <c r="Q21" s="59">
        <v>200000</v>
      </c>
      <c r="R21" s="60">
        <f t="shared" si="4"/>
        <v>-3.4924596548080444E-10</v>
      </c>
    </row>
    <row r="22" spans="1:18" s="1" customFormat="1" ht="19.7" customHeight="1" x14ac:dyDescent="0.2">
      <c r="A22" s="47" t="s">
        <v>97</v>
      </c>
      <c r="B22" s="48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28">
        <v>427171.94</v>
      </c>
      <c r="I22" s="58">
        <f t="shared" si="6"/>
        <v>503789.49</v>
      </c>
      <c r="J22" s="28">
        <f t="shared" si="7"/>
        <v>1332701.7516666667</v>
      </c>
      <c r="K22" s="28">
        <f t="shared" si="7"/>
        <v>1332701.7516666667</v>
      </c>
      <c r="L22" s="28">
        <f t="shared" si="7"/>
        <v>1332701.7516666667</v>
      </c>
      <c r="M22" s="28">
        <f t="shared" si="7"/>
        <v>1332701.7516666667</v>
      </c>
      <c r="N22" s="28">
        <f t="shared" si="7"/>
        <v>1332701.7516666667</v>
      </c>
      <c r="O22" s="28">
        <f t="shared" si="7"/>
        <v>1332701.7516666667</v>
      </c>
      <c r="P22" s="58">
        <f t="shared" si="2"/>
        <v>8500000</v>
      </c>
      <c r="Q22" s="59">
        <v>8500000</v>
      </c>
      <c r="R22" s="60">
        <f t="shared" si="4"/>
        <v>0</v>
      </c>
    </row>
    <row r="23" spans="1:18" s="1" customFormat="1" ht="19.7" customHeight="1" x14ac:dyDescent="0.2">
      <c r="A23" s="47" t="s">
        <v>99</v>
      </c>
      <c r="B23" s="48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58">
        <f t="shared" si="6"/>
        <v>0</v>
      </c>
      <c r="J23" s="28">
        <f t="shared" si="7"/>
        <v>311782.66666666669</v>
      </c>
      <c r="K23" s="28">
        <f t="shared" si="7"/>
        <v>311782.66666666669</v>
      </c>
      <c r="L23" s="28">
        <f t="shared" si="7"/>
        <v>311782.66666666669</v>
      </c>
      <c r="M23" s="28">
        <f t="shared" si="7"/>
        <v>311782.66666666669</v>
      </c>
      <c r="N23" s="28">
        <f t="shared" si="7"/>
        <v>311782.66666666669</v>
      </c>
      <c r="O23" s="28">
        <f t="shared" si="7"/>
        <v>311782.66666666669</v>
      </c>
      <c r="P23" s="58">
        <f t="shared" si="2"/>
        <v>1870696.0000000002</v>
      </c>
      <c r="Q23" s="59">
        <v>1870696</v>
      </c>
      <c r="R23" s="60">
        <f t="shared" si="4"/>
        <v>0</v>
      </c>
    </row>
    <row r="24" spans="1:18" s="1" customFormat="1" ht="19.7" customHeight="1" x14ac:dyDescent="0.2">
      <c r="A24" s="47" t="s">
        <v>129</v>
      </c>
      <c r="B24" s="48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28">
        <v>10</v>
      </c>
      <c r="I24" s="58">
        <f t="shared" si="6"/>
        <v>35</v>
      </c>
      <c r="J24" s="28">
        <f t="shared" si="7"/>
        <v>-5.833333333333333</v>
      </c>
      <c r="K24" s="28">
        <f t="shared" si="7"/>
        <v>-5.833333333333333</v>
      </c>
      <c r="L24" s="28">
        <f t="shared" si="7"/>
        <v>-5.833333333333333</v>
      </c>
      <c r="M24" s="28">
        <f t="shared" si="7"/>
        <v>-5.833333333333333</v>
      </c>
      <c r="N24" s="28">
        <f t="shared" si="7"/>
        <v>-5.833333333333333</v>
      </c>
      <c r="O24" s="28">
        <f t="shared" si="7"/>
        <v>-5.833333333333333</v>
      </c>
      <c r="P24" s="58">
        <f t="shared" si="2"/>
        <v>0</v>
      </c>
      <c r="Q24" s="59">
        <v>0</v>
      </c>
      <c r="R24" s="60">
        <f>P24-Q24</f>
        <v>0</v>
      </c>
    </row>
    <row r="25" spans="1:18" s="1" customFormat="1" ht="19.7" customHeight="1" x14ac:dyDescent="0.2">
      <c r="A25" s="47" t="s">
        <v>101</v>
      </c>
      <c r="B25" s="48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28">
        <v>3807</v>
      </c>
      <c r="I25" s="58">
        <f t="shared" si="6"/>
        <v>16395.8</v>
      </c>
      <c r="J25" s="28">
        <f t="shared" si="7"/>
        <v>600.70000000000073</v>
      </c>
      <c r="K25" s="28">
        <f t="shared" si="7"/>
        <v>600.70000000000073</v>
      </c>
      <c r="L25" s="28">
        <f t="shared" si="7"/>
        <v>600.70000000000073</v>
      </c>
      <c r="M25" s="28">
        <f t="shared" si="7"/>
        <v>600.70000000000073</v>
      </c>
      <c r="N25" s="28">
        <f t="shared" si="7"/>
        <v>600.70000000000073</v>
      </c>
      <c r="O25" s="28">
        <f t="shared" si="7"/>
        <v>600.70000000000073</v>
      </c>
      <c r="P25" s="58">
        <f t="shared" si="2"/>
        <v>19999.999999999989</v>
      </c>
      <c r="Q25" s="59">
        <v>20000.000000000004</v>
      </c>
      <c r="R25" s="60">
        <f t="shared" si="4"/>
        <v>0</v>
      </c>
    </row>
    <row r="26" spans="1:18" s="1" customFormat="1" ht="19.7" customHeight="1" x14ac:dyDescent="0.2">
      <c r="A26" s="47" t="s">
        <v>103</v>
      </c>
      <c r="B26" s="48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28">
        <v>0.06</v>
      </c>
      <c r="I26" s="58">
        <f t="shared" si="6"/>
        <v>279439.63</v>
      </c>
      <c r="J26" s="28">
        <f t="shared" si="7"/>
        <v>-29906.605</v>
      </c>
      <c r="K26" s="28">
        <f t="shared" si="7"/>
        <v>-29906.605</v>
      </c>
      <c r="L26" s="28">
        <f t="shared" si="7"/>
        <v>-29906.605</v>
      </c>
      <c r="M26" s="28">
        <f t="shared" si="7"/>
        <v>-29906.605</v>
      </c>
      <c r="N26" s="28">
        <f t="shared" si="7"/>
        <v>-29906.605</v>
      </c>
      <c r="O26" s="28">
        <f t="shared" si="7"/>
        <v>-29906.605</v>
      </c>
      <c r="P26" s="58">
        <f t="shared" si="2"/>
        <v>100000.00000000012</v>
      </c>
      <c r="Q26" s="59">
        <v>100000</v>
      </c>
      <c r="R26" s="60">
        <f t="shared" si="4"/>
        <v>1.1641532182693481E-10</v>
      </c>
    </row>
    <row r="27" spans="1:18" s="1" customFormat="1" ht="19.7" customHeight="1" x14ac:dyDescent="0.2">
      <c r="A27" s="47" t="s">
        <v>116</v>
      </c>
      <c r="B27" s="48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58">
        <f t="shared" si="6"/>
        <v>0</v>
      </c>
      <c r="J27" s="28">
        <f t="shared" si="7"/>
        <v>20833.333333333332</v>
      </c>
      <c r="K27" s="28">
        <f t="shared" si="7"/>
        <v>20833.333333333332</v>
      </c>
      <c r="L27" s="28">
        <f t="shared" si="7"/>
        <v>20833.333333333332</v>
      </c>
      <c r="M27" s="28">
        <f t="shared" si="7"/>
        <v>20833.333333333332</v>
      </c>
      <c r="N27" s="28">
        <f t="shared" si="7"/>
        <v>20833.333333333332</v>
      </c>
      <c r="O27" s="28">
        <f t="shared" si="7"/>
        <v>20833.333333333332</v>
      </c>
      <c r="P27" s="58">
        <f t="shared" si="2"/>
        <v>124999.99999999999</v>
      </c>
      <c r="Q27" s="59">
        <v>125000</v>
      </c>
      <c r="R27" s="60">
        <f t="shared" si="4"/>
        <v>0</v>
      </c>
    </row>
    <row r="28" spans="1:18" s="1" customFormat="1" ht="19.7" customHeight="1" x14ac:dyDescent="0.2">
      <c r="A28" s="47" t="s">
        <v>105</v>
      </c>
      <c r="B28" s="48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28">
        <v>37880</v>
      </c>
      <c r="I28" s="58">
        <f t="shared" si="6"/>
        <v>1125405</v>
      </c>
      <c r="J28" s="28">
        <f t="shared" si="7"/>
        <v>145765.83333333334</v>
      </c>
      <c r="K28" s="28">
        <f t="shared" si="7"/>
        <v>145765.83333333334</v>
      </c>
      <c r="L28" s="28">
        <f t="shared" si="7"/>
        <v>145765.83333333334</v>
      </c>
      <c r="M28" s="28">
        <f t="shared" si="7"/>
        <v>145765.83333333334</v>
      </c>
      <c r="N28" s="28">
        <f t="shared" si="7"/>
        <v>145765.83333333334</v>
      </c>
      <c r="O28" s="28">
        <f t="shared" si="7"/>
        <v>145765.83333333334</v>
      </c>
      <c r="P28" s="58">
        <f t="shared" si="2"/>
        <v>2000000.0000000009</v>
      </c>
      <c r="Q28" s="59">
        <v>2000000</v>
      </c>
      <c r="R28" s="60">
        <f t="shared" si="4"/>
        <v>0</v>
      </c>
    </row>
    <row r="29" spans="1:18" s="1" customFormat="1" ht="19.7" customHeight="1" x14ac:dyDescent="0.2">
      <c r="A29" s="47" t="s">
        <v>107</v>
      </c>
      <c r="B29" s="48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28">
        <v>1143.42</v>
      </c>
      <c r="I29" s="58">
        <f t="shared" si="6"/>
        <v>5223.42</v>
      </c>
      <c r="J29" s="28">
        <f t="shared" si="7"/>
        <v>796.09666666666669</v>
      </c>
      <c r="K29" s="28">
        <f t="shared" si="7"/>
        <v>796.09666666666669</v>
      </c>
      <c r="L29" s="28">
        <f t="shared" si="7"/>
        <v>796.09666666666669</v>
      </c>
      <c r="M29" s="28">
        <f t="shared" si="7"/>
        <v>796.09666666666669</v>
      </c>
      <c r="N29" s="28">
        <f t="shared" si="7"/>
        <v>796.09666666666669</v>
      </c>
      <c r="O29" s="28">
        <f t="shared" si="7"/>
        <v>796.09666666666669</v>
      </c>
      <c r="P29" s="58">
        <f t="shared" si="2"/>
        <v>9999.9999999999982</v>
      </c>
      <c r="Q29" s="59">
        <v>10000</v>
      </c>
      <c r="R29" s="60">
        <f t="shared" si="4"/>
        <v>0</v>
      </c>
    </row>
    <row r="30" spans="1:18" s="1" customFormat="1" ht="19.7" customHeight="1" x14ac:dyDescent="0.2">
      <c r="A30" s="47" t="s">
        <v>109</v>
      </c>
      <c r="B30" s="48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28">
        <v>110</v>
      </c>
      <c r="I30" s="58">
        <f t="shared" si="6"/>
        <v>46948.2</v>
      </c>
      <c r="J30" s="28">
        <f t="shared" si="7"/>
        <v>17175.3</v>
      </c>
      <c r="K30" s="28">
        <f t="shared" si="7"/>
        <v>17175.3</v>
      </c>
      <c r="L30" s="28">
        <f t="shared" si="7"/>
        <v>17175.3</v>
      </c>
      <c r="M30" s="28">
        <f t="shared" si="7"/>
        <v>17175.3</v>
      </c>
      <c r="N30" s="28">
        <f t="shared" si="7"/>
        <v>17175.3</v>
      </c>
      <c r="O30" s="28">
        <f t="shared" si="7"/>
        <v>17175.3</v>
      </c>
      <c r="P30" s="58">
        <f t="shared" si="2"/>
        <v>149999.99999999994</v>
      </c>
      <c r="Q30" s="59">
        <v>150000</v>
      </c>
      <c r="R30" s="60">
        <f t="shared" si="4"/>
        <v>0</v>
      </c>
    </row>
    <row r="31" spans="1:18" s="1" customFormat="1" ht="19.7" customHeight="1" x14ac:dyDescent="0.2">
      <c r="A31" s="47" t="s">
        <v>111</v>
      </c>
      <c r="B31" s="48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28">
        <v>66926.960000000006</v>
      </c>
      <c r="I31" s="58">
        <f t="shared" si="6"/>
        <v>2069533.46</v>
      </c>
      <c r="J31" s="28">
        <f t="shared" si="7"/>
        <v>305311.75666666665</v>
      </c>
      <c r="K31" s="28">
        <f t="shared" si="7"/>
        <v>305311.75666666665</v>
      </c>
      <c r="L31" s="28">
        <f t="shared" si="7"/>
        <v>305311.75666666665</v>
      </c>
      <c r="M31" s="28">
        <f t="shared" si="7"/>
        <v>305311.75666666665</v>
      </c>
      <c r="N31" s="28">
        <f t="shared" si="7"/>
        <v>305311.75666666665</v>
      </c>
      <c r="O31" s="28">
        <f t="shared" si="7"/>
        <v>305311.75666666665</v>
      </c>
      <c r="P31" s="58">
        <f t="shared" si="2"/>
        <v>3901404.0000000009</v>
      </c>
      <c r="Q31" s="59">
        <v>3901404</v>
      </c>
      <c r="R31" s="60">
        <f t="shared" si="4"/>
        <v>0</v>
      </c>
    </row>
    <row r="32" spans="1:18" s="1" customFormat="1" ht="19.7" customHeight="1" x14ac:dyDescent="0.2">
      <c r="A32" s="47" t="s">
        <v>124</v>
      </c>
      <c r="B32" s="48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28">
        <v>-10</v>
      </c>
      <c r="I32" s="58"/>
      <c r="J32" s="28"/>
      <c r="K32" s="28"/>
      <c r="L32" s="28"/>
      <c r="M32" s="28"/>
      <c r="N32" s="28"/>
      <c r="O32" s="28"/>
      <c r="P32" s="58"/>
      <c r="Q32" s="59"/>
      <c r="R32" s="60"/>
    </row>
    <row r="33" spans="1:18" s="1" customFormat="1" ht="19.7" customHeight="1" x14ac:dyDescent="0.2">
      <c r="A33" s="47" t="s">
        <v>113</v>
      </c>
      <c r="B33" s="48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10537.46</v>
      </c>
      <c r="H33" s="28">
        <v>88303.14</v>
      </c>
      <c r="I33" s="58">
        <f>SUM(C33:H33)</f>
        <v>132705.9</v>
      </c>
      <c r="J33" s="28">
        <f t="shared" ref="J33:O33" si="8">($Q33-$I33)/6</f>
        <v>-450.98333333333238</v>
      </c>
      <c r="K33" s="28">
        <f t="shared" si="8"/>
        <v>-450.98333333333238</v>
      </c>
      <c r="L33" s="28">
        <f t="shared" si="8"/>
        <v>-450.98333333333238</v>
      </c>
      <c r="M33" s="28">
        <f t="shared" si="8"/>
        <v>-450.98333333333238</v>
      </c>
      <c r="N33" s="28">
        <f t="shared" si="8"/>
        <v>-450.98333333333238</v>
      </c>
      <c r="O33" s="28">
        <f t="shared" si="8"/>
        <v>-450.98333333333238</v>
      </c>
      <c r="P33" s="58">
        <f>SUM(C33:O33)-I33</f>
        <v>129999.99999999997</v>
      </c>
      <c r="Q33" s="59">
        <v>130000</v>
      </c>
      <c r="R33" s="60">
        <f t="shared" si="4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v>424767.23</v>
      </c>
      <c r="D34" s="18">
        <v>3103537.6500000004</v>
      </c>
      <c r="E34" s="18">
        <v>60252.72</v>
      </c>
      <c r="F34" s="18">
        <v>263656.40999999997</v>
      </c>
      <c r="G34" s="18">
        <v>636798.82999999996</v>
      </c>
      <c r="H34" s="18">
        <v>6377955.7599999998</v>
      </c>
      <c r="I34" s="58">
        <f>SUM(I18:I33)</f>
        <v>10866968.6</v>
      </c>
      <c r="J34" s="18">
        <f t="shared" ref="J34:N34" si="9">SUM(J18:J33)</f>
        <v>3440021.9000000004</v>
      </c>
      <c r="K34" s="18">
        <f t="shared" si="9"/>
        <v>3440021.9000000004</v>
      </c>
      <c r="L34" s="18">
        <f t="shared" si="9"/>
        <v>3440021.9000000004</v>
      </c>
      <c r="M34" s="18">
        <f t="shared" si="9"/>
        <v>3440021.9000000004</v>
      </c>
      <c r="N34" s="18">
        <f t="shared" si="9"/>
        <v>3440021.9000000004</v>
      </c>
      <c r="O34" s="18">
        <f>SUM(O18:O33)</f>
        <v>3440021.9000000004</v>
      </c>
      <c r="P34" s="58">
        <f>SUM(C34:O34)-I34</f>
        <v>31507099.999999993</v>
      </c>
      <c r="Q34" s="59"/>
      <c r="R34" s="60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" si="10">F34+F17+F5</f>
        <v>5240232.1500000004</v>
      </c>
      <c r="G35" s="19">
        <f>G34+G17+G5</f>
        <v>6310107.8300000001</v>
      </c>
      <c r="H35" s="19">
        <f>H34+H17+H5</f>
        <v>12523191.02</v>
      </c>
      <c r="I35" s="58">
        <f>SUM(C35:H35)</f>
        <v>54763672.799999997</v>
      </c>
      <c r="J35" s="19">
        <f t="shared" ref="J35:O35" si="11">J34+J17+J5</f>
        <v>11191806.033333331</v>
      </c>
      <c r="K35" s="19">
        <f t="shared" si="11"/>
        <v>11191806.033333331</v>
      </c>
      <c r="L35" s="19">
        <f t="shared" si="11"/>
        <v>11191806.033333331</v>
      </c>
      <c r="M35" s="19">
        <f t="shared" si="11"/>
        <v>11191806.033333331</v>
      </c>
      <c r="N35" s="19">
        <f t="shared" si="11"/>
        <v>11191806.033333331</v>
      </c>
      <c r="O35" s="19">
        <f t="shared" si="11"/>
        <v>11191806.033333331</v>
      </c>
      <c r="P35" s="61">
        <f>P34+P17+P5</f>
        <v>121914508.99999994</v>
      </c>
      <c r="Q35" s="62"/>
      <c r="R35" s="60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17"/>
      <c r="I36" s="57"/>
      <c r="J36" s="17"/>
      <c r="K36" s="17"/>
      <c r="L36" s="17"/>
      <c r="M36" s="17"/>
      <c r="N36" s="17"/>
      <c r="O36" s="17"/>
      <c r="P36" s="57"/>
      <c r="R36" s="60">
        <f t="shared" si="4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4238406.0999999996</v>
      </c>
      <c r="H37" s="18">
        <v>4562212.7</v>
      </c>
      <c r="I37" s="58">
        <f t="shared" ref="I37:I45" si="12">SUM(C37:H37)</f>
        <v>17183527.34</v>
      </c>
      <c r="J37" s="18">
        <f t="shared" ref="J37:N42" si="13">($Q37-$I37)/7</f>
        <v>4378962.5228571426</v>
      </c>
      <c r="K37" s="18">
        <f t="shared" si="13"/>
        <v>4378962.5228571426</v>
      </c>
      <c r="L37" s="18">
        <f t="shared" si="13"/>
        <v>4378962.5228571426</v>
      </c>
      <c r="M37" s="18">
        <f t="shared" si="13"/>
        <v>4378962.5228571426</v>
      </c>
      <c r="N37" s="18">
        <f t="shared" si="13"/>
        <v>4378962.5228571426</v>
      </c>
      <c r="O37" s="18">
        <f t="shared" ref="O37:O42" si="14">($Q37-$I37)/7*2</f>
        <v>8757925.0457142852</v>
      </c>
      <c r="P37" s="58">
        <f t="shared" ref="P37:P42" si="15">SUM(C37:O37)-I37</f>
        <v>47836265</v>
      </c>
      <c r="Q37" s="59">
        <v>47836265</v>
      </c>
      <c r="R37" s="60">
        <f t="shared" si="4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18">
        <v>1963188.44</v>
      </c>
      <c r="I38" s="58">
        <f t="shared" si="12"/>
        <v>9816133.1699999999</v>
      </c>
      <c r="J38" s="18">
        <f t="shared" si="13"/>
        <v>1992120.8328571429</v>
      </c>
      <c r="K38" s="18">
        <f t="shared" si="13"/>
        <v>1992120.8328571429</v>
      </c>
      <c r="L38" s="18">
        <f t="shared" si="13"/>
        <v>1992120.8328571429</v>
      </c>
      <c r="M38" s="18">
        <f t="shared" si="13"/>
        <v>1992120.8328571429</v>
      </c>
      <c r="N38" s="18">
        <f t="shared" si="13"/>
        <v>1992120.8328571429</v>
      </c>
      <c r="O38" s="18">
        <f t="shared" si="14"/>
        <v>3984241.6657142858</v>
      </c>
      <c r="P38" s="58">
        <f t="shared" si="15"/>
        <v>23760979</v>
      </c>
      <c r="Q38" s="59">
        <v>23760979</v>
      </c>
      <c r="R38" s="60">
        <f t="shared" si="4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2594100.08</v>
      </c>
      <c r="H39" s="18">
        <v>3229447.09</v>
      </c>
      <c r="I39" s="58">
        <f t="shared" si="12"/>
        <v>10724289.089999992</v>
      </c>
      <c r="J39" s="18">
        <f t="shared" si="13"/>
        <v>3063921.272857144</v>
      </c>
      <c r="K39" s="18">
        <f t="shared" si="13"/>
        <v>3063921.272857144</v>
      </c>
      <c r="L39" s="18">
        <f t="shared" si="13"/>
        <v>3063921.272857144</v>
      </c>
      <c r="M39" s="18">
        <f t="shared" si="13"/>
        <v>3063921.272857144</v>
      </c>
      <c r="N39" s="18">
        <f t="shared" si="13"/>
        <v>3063921.272857144</v>
      </c>
      <c r="O39" s="18">
        <f t="shared" si="14"/>
        <v>6127842.545714288</v>
      </c>
      <c r="P39" s="58">
        <f t="shared" si="15"/>
        <v>32171738.000000004</v>
      </c>
      <c r="Q39" s="59">
        <v>32171738</v>
      </c>
      <c r="R39" s="60">
        <f t="shared" si="4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18">
        <v>22594.92</v>
      </c>
      <c r="I40" s="58">
        <f t="shared" si="12"/>
        <v>162331.38</v>
      </c>
      <c r="J40" s="18">
        <f t="shared" si="13"/>
        <v>36011.659999999996</v>
      </c>
      <c r="K40" s="18">
        <f t="shared" si="13"/>
        <v>36011.659999999996</v>
      </c>
      <c r="L40" s="18">
        <f t="shared" si="13"/>
        <v>36011.659999999996</v>
      </c>
      <c r="M40" s="18">
        <f t="shared" si="13"/>
        <v>36011.659999999996</v>
      </c>
      <c r="N40" s="18">
        <f t="shared" si="13"/>
        <v>36011.659999999996</v>
      </c>
      <c r="O40" s="18">
        <f t="shared" si="14"/>
        <v>72023.319999999992</v>
      </c>
      <c r="P40" s="58">
        <f t="shared" si="15"/>
        <v>414412.99999999988</v>
      </c>
      <c r="Q40" s="59">
        <v>414413</v>
      </c>
      <c r="R40" s="60">
        <f t="shared" si="4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1152480.68</v>
      </c>
      <c r="H41" s="18">
        <v>864429.92</v>
      </c>
      <c r="I41" s="58">
        <f t="shared" si="12"/>
        <v>4696361.08</v>
      </c>
      <c r="J41" s="18">
        <f t="shared" si="13"/>
        <v>1091825.7028571428</v>
      </c>
      <c r="K41" s="18">
        <f t="shared" si="13"/>
        <v>1091825.7028571428</v>
      </c>
      <c r="L41" s="18">
        <f t="shared" si="13"/>
        <v>1091825.7028571428</v>
      </c>
      <c r="M41" s="18">
        <f t="shared" si="13"/>
        <v>1091825.7028571428</v>
      </c>
      <c r="N41" s="18">
        <f t="shared" si="13"/>
        <v>1091825.7028571428</v>
      </c>
      <c r="O41" s="18">
        <f t="shared" si="14"/>
        <v>2183651.4057142856</v>
      </c>
      <c r="P41" s="58">
        <f t="shared" si="15"/>
        <v>12339140.999999998</v>
      </c>
      <c r="Q41" s="59">
        <v>12339141</v>
      </c>
      <c r="R41" s="60">
        <f t="shared" si="4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18">
        <v>1505.18</v>
      </c>
      <c r="I42" s="58">
        <f t="shared" si="12"/>
        <v>-10434.659999999998</v>
      </c>
      <c r="J42" s="18">
        <f t="shared" si="13"/>
        <v>48340.665714285708</v>
      </c>
      <c r="K42" s="18">
        <f t="shared" si="13"/>
        <v>48340.665714285708</v>
      </c>
      <c r="L42" s="18">
        <f t="shared" si="13"/>
        <v>48340.665714285708</v>
      </c>
      <c r="M42" s="18">
        <f t="shared" si="13"/>
        <v>48340.665714285708</v>
      </c>
      <c r="N42" s="18">
        <f t="shared" si="13"/>
        <v>48340.665714285708</v>
      </c>
      <c r="O42" s="18">
        <f t="shared" si="14"/>
        <v>96681.331428571415</v>
      </c>
      <c r="P42" s="58">
        <f t="shared" si="15"/>
        <v>327949.99999999994</v>
      </c>
      <c r="Q42" s="59">
        <v>327950</v>
      </c>
      <c r="R42" s="60">
        <f t="shared" si="4"/>
        <v>0</v>
      </c>
    </row>
    <row r="43" spans="1:18" s="1" customFormat="1" ht="19.7" customHeight="1" x14ac:dyDescent="0.2">
      <c r="A43" s="7" t="s">
        <v>126</v>
      </c>
      <c r="B43" s="7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18">
        <v>0</v>
      </c>
      <c r="I43" s="58">
        <f t="shared" si="12"/>
        <v>1750000</v>
      </c>
      <c r="J43" s="18"/>
      <c r="K43" s="18"/>
      <c r="L43" s="18"/>
      <c r="M43" s="18"/>
      <c r="N43" s="18"/>
      <c r="O43" s="18"/>
      <c r="P43" s="58"/>
      <c r="Q43" s="59"/>
      <c r="R43" s="60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18">
        <v>347578.42</v>
      </c>
      <c r="I44" s="58">
        <f t="shared" si="12"/>
        <v>662157.84000000008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58">
        <f>SUM(C44:O44)-I44</f>
        <v>662157.84000000008</v>
      </c>
      <c r="Q44" s="59">
        <v>0</v>
      </c>
      <c r="R44" s="60">
        <f t="shared" si="4"/>
        <v>662157.84000000008</v>
      </c>
    </row>
    <row r="45" spans="1:18" s="1" customFormat="1" ht="19.7" customHeight="1" thickBot="1" x14ac:dyDescent="0.25">
      <c r="A45" s="8" t="s">
        <v>40</v>
      </c>
      <c r="B45" s="11"/>
      <c r="C45" s="19">
        <f t="shared" ref="C45:H45" si="16">SUM(C37:C44)</f>
        <v>1369828.38</v>
      </c>
      <c r="D45" s="19">
        <f t="shared" si="16"/>
        <v>6080445.1800000006</v>
      </c>
      <c r="E45" s="19">
        <f t="shared" si="16"/>
        <v>5127705.7400000021</v>
      </c>
      <c r="F45" s="19">
        <f t="shared" si="16"/>
        <v>9974039.2999999896</v>
      </c>
      <c r="G45" s="19">
        <f t="shared" si="16"/>
        <v>11441389.970000001</v>
      </c>
      <c r="H45" s="19">
        <f t="shared" si="16"/>
        <v>10990956.67</v>
      </c>
      <c r="I45" s="58">
        <f t="shared" si="12"/>
        <v>44984365.239999995</v>
      </c>
      <c r="J45" s="19">
        <f t="shared" ref="J45:O45" si="17">SUM(J37:J44)</f>
        <v>10611182.657142859</v>
      </c>
      <c r="K45" s="19">
        <f t="shared" si="17"/>
        <v>10611182.657142859</v>
      </c>
      <c r="L45" s="19">
        <f t="shared" si="17"/>
        <v>10611182.657142859</v>
      </c>
      <c r="M45" s="19">
        <f t="shared" si="17"/>
        <v>10611182.657142859</v>
      </c>
      <c r="N45" s="19">
        <f t="shared" si="17"/>
        <v>10611182.657142859</v>
      </c>
      <c r="O45" s="19">
        <f t="shared" si="17"/>
        <v>21222365.314285718</v>
      </c>
      <c r="P45" s="61">
        <f>SUM(P37:P44)</f>
        <v>117512643.84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17"/>
      <c r="I46" s="57"/>
      <c r="J46" s="17"/>
      <c r="K46" s="17"/>
      <c r="L46" s="17"/>
      <c r="M46" s="17"/>
      <c r="N46" s="17"/>
      <c r="O46" s="17"/>
      <c r="P46" s="57"/>
    </row>
    <row r="47" spans="1:18" s="1" customFormat="1" ht="19.7" customHeight="1" x14ac:dyDescent="0.2">
      <c r="A47" s="3" t="s">
        <v>41</v>
      </c>
      <c r="B47" s="5"/>
      <c r="C47" s="16">
        <f t="shared" ref="C47:O47" si="18">C35-C45</f>
        <v>3672284.8500000006</v>
      </c>
      <c r="D47" s="16">
        <f t="shared" si="18"/>
        <v>1640437.4699999997</v>
      </c>
      <c r="E47" s="16">
        <f>E35-E45</f>
        <v>12799440.179999996</v>
      </c>
      <c r="F47" s="16">
        <f>F35-F45</f>
        <v>-4733807.1499999892</v>
      </c>
      <c r="G47" s="16">
        <f>G35-G45</f>
        <v>-5131282.1400000006</v>
      </c>
      <c r="H47" s="16">
        <f>H35-H45</f>
        <v>1532234.3499999996</v>
      </c>
      <c r="I47" s="56">
        <f>I35-I45</f>
        <v>9779307.5600000024</v>
      </c>
      <c r="J47" s="16">
        <f t="shared" si="18"/>
        <v>580623.37619047239</v>
      </c>
      <c r="K47" s="16">
        <f t="shared" si="18"/>
        <v>580623.37619047239</v>
      </c>
      <c r="L47" s="16">
        <f t="shared" si="18"/>
        <v>580623.37619047239</v>
      </c>
      <c r="M47" s="16">
        <f t="shared" si="18"/>
        <v>580623.37619047239</v>
      </c>
      <c r="N47" s="16">
        <f t="shared" si="18"/>
        <v>580623.37619047239</v>
      </c>
      <c r="O47" s="16">
        <f t="shared" si="18"/>
        <v>-10030559.280952387</v>
      </c>
      <c r="P47" s="50">
        <f>SUM(C47:O47)-I47</f>
        <v>2651865.1599999815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17"/>
      <c r="I48" s="57"/>
      <c r="J48" s="17"/>
      <c r="K48" s="17"/>
      <c r="L48" s="17"/>
      <c r="M48" s="17"/>
      <c r="N48" s="17"/>
      <c r="O48" s="17"/>
      <c r="P48" s="57"/>
    </row>
    <row r="49" spans="1:16" s="1" customFormat="1" ht="19.7" hidden="1" customHeight="1" x14ac:dyDescent="0.2">
      <c r="A49" s="52" t="s">
        <v>42</v>
      </c>
      <c r="B49" s="6"/>
      <c r="C49" s="17"/>
      <c r="D49" s="17"/>
      <c r="E49" s="17"/>
      <c r="F49" s="17"/>
      <c r="G49" s="17"/>
      <c r="H49" s="17"/>
      <c r="I49" s="57"/>
      <c r="J49" s="17"/>
      <c r="K49" s="17"/>
      <c r="L49" s="17"/>
      <c r="M49" s="17"/>
      <c r="N49" s="17"/>
      <c r="O49" s="17"/>
      <c r="P49" s="57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58"/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57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18">
        <v>-1523150.5</v>
      </c>
      <c r="I51" s="58"/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57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18">
        <v>238941.87</v>
      </c>
      <c r="I52" s="58"/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57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58"/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57"/>
    </row>
    <row r="54" spans="1:16" s="1" customFormat="1" ht="19.7" hidden="1" customHeight="1" x14ac:dyDescent="0.2">
      <c r="A54" s="52" t="s">
        <v>51</v>
      </c>
      <c r="B54" s="6"/>
      <c r="C54" s="17"/>
      <c r="D54" s="17"/>
      <c r="E54" s="17"/>
      <c r="F54" s="17"/>
      <c r="G54" s="17"/>
      <c r="H54" s="17"/>
      <c r="I54" s="58"/>
      <c r="J54" s="17"/>
      <c r="K54" s="17"/>
      <c r="L54" s="17"/>
      <c r="M54" s="17"/>
      <c r="N54" s="17"/>
      <c r="O54" s="17"/>
      <c r="P54" s="57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58"/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57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180442.13</v>
      </c>
      <c r="H56" s="18">
        <v>419586.19000000099</v>
      </c>
      <c r="I56" s="58"/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57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-94198.96</v>
      </c>
      <c r="H57" s="18">
        <v>1857392.91</v>
      </c>
      <c r="I57" s="58"/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57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58"/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57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58"/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57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58"/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57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58"/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57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58"/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57"/>
    </row>
    <row r="63" spans="1:16" s="1" customFormat="1" ht="19.7" customHeight="1" thickBot="1" x14ac:dyDescent="0.25">
      <c r="A63" s="8" t="s">
        <v>66</v>
      </c>
      <c r="B63" s="11"/>
      <c r="C63" s="19">
        <f t="shared" ref="C63:H63" si="19">SUM(C50:C62)</f>
        <v>-10071021.609999999</v>
      </c>
      <c r="D63" s="19">
        <f t="shared" si="19"/>
        <v>-2775027.34</v>
      </c>
      <c r="E63" s="19">
        <f t="shared" si="19"/>
        <v>206991.87</v>
      </c>
      <c r="F63" s="19">
        <f t="shared" si="19"/>
        <v>1193721</v>
      </c>
      <c r="G63" s="19">
        <f t="shared" si="19"/>
        <v>279063.77</v>
      </c>
      <c r="H63" s="19">
        <f t="shared" si="19"/>
        <v>992770.47000000102</v>
      </c>
      <c r="I63" s="61"/>
      <c r="J63" s="19">
        <v>-1200000</v>
      </c>
      <c r="K63" s="19">
        <v>-1200000</v>
      </c>
      <c r="L63" s="19">
        <v>-1200000</v>
      </c>
      <c r="M63" s="19">
        <v>-1200000</v>
      </c>
      <c r="N63" s="19">
        <v>-1200000</v>
      </c>
      <c r="O63" s="19">
        <v>-1200000</v>
      </c>
      <c r="P63" s="63"/>
    </row>
    <row r="64" spans="1:16" s="1" customFormat="1" ht="18.2" customHeight="1" x14ac:dyDescent="0.2">
      <c r="A64" s="6"/>
      <c r="B64" s="6"/>
      <c r="C64" s="17"/>
      <c r="D64" s="17"/>
      <c r="E64" s="17"/>
      <c r="F64" s="17"/>
      <c r="G64" s="17"/>
      <c r="H64" s="17"/>
      <c r="I64" s="57"/>
      <c r="J64" s="17"/>
      <c r="K64" s="17"/>
      <c r="L64" s="17"/>
      <c r="M64" s="17"/>
      <c r="N64" s="17"/>
      <c r="O64" s="17"/>
      <c r="P64" s="57"/>
    </row>
    <row r="65" spans="1:16" s="1" customFormat="1" ht="19.7" customHeight="1" thickBot="1" x14ac:dyDescent="0.25">
      <c r="A65" s="13" t="s">
        <v>67</v>
      </c>
      <c r="B65" s="14"/>
      <c r="C65" s="20">
        <f t="shared" ref="C65:H65" si="20">C3+C47+C63</f>
        <v>17276325.860000003</v>
      </c>
      <c r="D65" s="20">
        <f t="shared" si="20"/>
        <v>16141735.990000002</v>
      </c>
      <c r="E65" s="20">
        <f t="shared" si="20"/>
        <v>29148168.039999999</v>
      </c>
      <c r="F65" s="20">
        <f t="shared" si="20"/>
        <v>25608081.890000008</v>
      </c>
      <c r="G65" s="20">
        <f t="shared" si="20"/>
        <v>20755863.520000007</v>
      </c>
      <c r="H65" s="20">
        <f t="shared" si="20"/>
        <v>23280868.340000007</v>
      </c>
      <c r="I65" s="64"/>
      <c r="J65" s="20">
        <f t="shared" ref="J65:O65" si="21">J3+J47+J63</f>
        <v>22661491.71619048</v>
      </c>
      <c r="K65" s="20">
        <f t="shared" si="21"/>
        <v>22042115.092380952</v>
      </c>
      <c r="L65" s="20">
        <f t="shared" si="21"/>
        <v>21422738.468571424</v>
      </c>
      <c r="M65" s="20">
        <f t="shared" si="21"/>
        <v>20803361.844761897</v>
      </c>
      <c r="N65" s="20">
        <f t="shared" si="21"/>
        <v>20183985.220952369</v>
      </c>
      <c r="O65" s="20">
        <f t="shared" si="21"/>
        <v>8953425.9399999827</v>
      </c>
      <c r="P65" s="65"/>
    </row>
    <row r="66" spans="1:16" s="1" customFormat="1" ht="28.7" customHeight="1" x14ac:dyDescent="0.2">
      <c r="C66" s="21"/>
      <c r="D66" s="21"/>
      <c r="E66" s="21"/>
      <c r="F66" s="21"/>
      <c r="G66" s="21"/>
      <c r="H66" s="21"/>
      <c r="I66" s="35"/>
      <c r="J66" s="21"/>
      <c r="K66" s="21"/>
      <c r="L66" s="21"/>
      <c r="M66" s="21"/>
      <c r="N66" s="21"/>
      <c r="O66" s="21"/>
      <c r="P66" s="21"/>
    </row>
  </sheetData>
  <sheetProtection algorithmName="SHA-512" hashValue="ilueR7sTudkD9aSjATke0zCl22USJOVnEpYwPzYy7aF3jryr8wGHOuqJ4+WOaG7lkLIm/7GNccPrgectsgBMLw==" saltValue="m5AFMt2GgM1mIQnUZtdzAA==" spinCount="100000" sheet="1" objects="1" scenarios="1"/>
  <mergeCells count="1">
    <mergeCell ref="A1:B1"/>
  </mergeCells>
  <pageMargins left="0.7" right="0.7" top="0.75" bottom="0.75" header="0.3" footer="0.3"/>
  <pageSetup paperSize="9" scale="3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B8A7-8EA9-4C0C-A64B-0ADFCF889DC8}">
  <sheetPr>
    <pageSetUpPr fitToPage="1"/>
  </sheetPr>
  <dimension ref="A1:R6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27" sqref="J27"/>
    </sheetView>
  </sheetViews>
  <sheetFormatPr defaultRowHeight="12.75" x14ac:dyDescent="0.2"/>
  <cols>
    <col min="1" max="1" width="35.5703125" customWidth="1"/>
    <col min="2" max="2" width="20" customWidth="1"/>
    <col min="3" max="7" width="20" style="22" customWidth="1"/>
    <col min="8" max="8" width="22.42578125" style="36" bestFit="1" customWidth="1"/>
    <col min="9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9" t="s">
        <v>0</v>
      </c>
      <c r="B1" s="69"/>
      <c r="C1" s="27"/>
      <c r="D1" s="27"/>
      <c r="E1" s="70" t="s">
        <v>1</v>
      </c>
      <c r="F1" s="70"/>
      <c r="G1" s="70"/>
      <c r="H1" s="29"/>
      <c r="I1" s="15"/>
      <c r="J1" s="15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25" t="s">
        <v>16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C65</f>
        <v>17276325.860000003</v>
      </c>
      <c r="E3" s="16">
        <f>D65</f>
        <v>16141735.990000002</v>
      </c>
      <c r="F3" s="16">
        <f>E65</f>
        <v>29148168.039999999</v>
      </c>
      <c r="G3" s="16">
        <f>F65</f>
        <v>25608081.890000008</v>
      </c>
      <c r="H3" s="50" t="s">
        <v>128</v>
      </c>
      <c r="I3" s="16">
        <f>G65</f>
        <v>20759754.080000017</v>
      </c>
      <c r="J3" s="16">
        <f>I65</f>
        <v>20326126.007500015</v>
      </c>
      <c r="K3" s="16">
        <f t="shared" ref="K3:O3" si="0">J65</f>
        <v>19892497.93500001</v>
      </c>
      <c r="L3" s="16">
        <f t="shared" si="0"/>
        <v>19458869.862500004</v>
      </c>
      <c r="M3" s="16">
        <f t="shared" si="0"/>
        <v>19025241.789999999</v>
      </c>
      <c r="N3" s="16">
        <f t="shared" si="0"/>
        <v>18591613.717499994</v>
      </c>
      <c r="O3" s="16">
        <f t="shared" si="0"/>
        <v>18157985.644999988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30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31">
        <f>SUM(C5:G5)</f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1" si="1">SUM(C5:O5)-H5</f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31">
        <f t="shared" ref="H6:H16" si="2">SUM(C6:G6)</f>
        <v>26067988</v>
      </c>
      <c r="I6" s="28">
        <f t="shared" ref="I6:O16" si="3">($Q6-$H6)/7</f>
        <v>8394272.7142857146</v>
      </c>
      <c r="J6" s="28">
        <f t="shared" si="3"/>
        <v>8394272.7142857146</v>
      </c>
      <c r="K6" s="28">
        <f t="shared" si="3"/>
        <v>8394272.7142857146</v>
      </c>
      <c r="L6" s="28">
        <f t="shared" si="3"/>
        <v>8394272.7142857146</v>
      </c>
      <c r="M6" s="28">
        <f t="shared" si="3"/>
        <v>8394272.7142857146</v>
      </c>
      <c r="N6" s="28">
        <f t="shared" si="3"/>
        <v>8394272.7142857146</v>
      </c>
      <c r="O6" s="28">
        <f t="shared" si="3"/>
        <v>8394272.7142857146</v>
      </c>
      <c r="P6" s="31">
        <f t="shared" si="1"/>
        <v>84827897.000000015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31">
        <f t="shared" si="2"/>
        <v>842951</v>
      </c>
      <c r="I7" s="28">
        <f t="shared" si="3"/>
        <v>135794.42857142858</v>
      </c>
      <c r="J7" s="28">
        <f t="shared" si="3"/>
        <v>135794.42857142858</v>
      </c>
      <c r="K7" s="28">
        <f t="shared" si="3"/>
        <v>135794.42857142858</v>
      </c>
      <c r="L7" s="28">
        <f t="shared" si="3"/>
        <v>135794.42857142858</v>
      </c>
      <c r="M7" s="28">
        <f t="shared" si="3"/>
        <v>135794.42857142858</v>
      </c>
      <c r="N7" s="28">
        <f t="shared" si="3"/>
        <v>135794.42857142858</v>
      </c>
      <c r="O7" s="28">
        <f t="shared" si="3"/>
        <v>135794.42857142858</v>
      </c>
      <c r="P7" s="31">
        <f t="shared" si="1"/>
        <v>1793512.0000000005</v>
      </c>
      <c r="Q7" s="40">
        <v>1793512</v>
      </c>
      <c r="R7" s="42">
        <f t="shared" ref="R7:R44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31">
        <f t="shared" si="2"/>
        <v>10044979</v>
      </c>
      <c r="I8" s="28">
        <f t="shared" si="3"/>
        <v>-1434997</v>
      </c>
      <c r="J8" s="28">
        <f t="shared" si="3"/>
        <v>-1434997</v>
      </c>
      <c r="K8" s="28">
        <f t="shared" si="3"/>
        <v>-1434997</v>
      </c>
      <c r="L8" s="28">
        <f t="shared" si="3"/>
        <v>-1434997</v>
      </c>
      <c r="M8" s="28">
        <f t="shared" si="3"/>
        <v>-1434997</v>
      </c>
      <c r="N8" s="28">
        <f t="shared" si="3"/>
        <v>-1434997</v>
      </c>
      <c r="O8" s="28">
        <f t="shared" si="3"/>
        <v>-1434997</v>
      </c>
      <c r="P8" s="31">
        <f t="shared" si="1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31">
        <f t="shared" si="2"/>
        <v>150480</v>
      </c>
      <c r="I9" s="28">
        <f t="shared" si="3"/>
        <v>22788.571428571428</v>
      </c>
      <c r="J9" s="28">
        <f t="shared" si="3"/>
        <v>22788.571428571428</v>
      </c>
      <c r="K9" s="28">
        <f t="shared" si="3"/>
        <v>22788.571428571428</v>
      </c>
      <c r="L9" s="28">
        <f t="shared" si="3"/>
        <v>22788.571428571428</v>
      </c>
      <c r="M9" s="28">
        <f t="shared" si="3"/>
        <v>22788.571428571428</v>
      </c>
      <c r="N9" s="28">
        <f t="shared" si="3"/>
        <v>22788.571428571428</v>
      </c>
      <c r="O9" s="28">
        <f t="shared" si="3"/>
        <v>22788.571428571428</v>
      </c>
      <c r="P9" s="31">
        <f t="shared" si="1"/>
        <v>309999.99999999994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31">
        <f t="shared" si="2"/>
        <v>0</v>
      </c>
      <c r="I10" s="28">
        <f t="shared" si="3"/>
        <v>50000</v>
      </c>
      <c r="J10" s="28">
        <f t="shared" si="3"/>
        <v>50000</v>
      </c>
      <c r="K10" s="28">
        <f t="shared" si="3"/>
        <v>50000</v>
      </c>
      <c r="L10" s="28">
        <f t="shared" si="3"/>
        <v>50000</v>
      </c>
      <c r="M10" s="28">
        <f t="shared" si="3"/>
        <v>50000</v>
      </c>
      <c r="N10" s="28">
        <f t="shared" si="3"/>
        <v>50000</v>
      </c>
      <c r="O10" s="28">
        <f t="shared" si="3"/>
        <v>50000</v>
      </c>
      <c r="P10" s="31">
        <f t="shared" si="1"/>
        <v>350000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31">
        <f t="shared" si="2"/>
        <v>65486</v>
      </c>
      <c r="I11" s="28">
        <f t="shared" si="3"/>
        <v>12073.428571428571</v>
      </c>
      <c r="J11" s="28">
        <f t="shared" si="3"/>
        <v>12073.428571428571</v>
      </c>
      <c r="K11" s="28">
        <f t="shared" si="3"/>
        <v>12073.428571428571</v>
      </c>
      <c r="L11" s="28">
        <f t="shared" si="3"/>
        <v>12073.428571428571</v>
      </c>
      <c r="M11" s="28">
        <f t="shared" si="3"/>
        <v>12073.428571428571</v>
      </c>
      <c r="N11" s="28">
        <f t="shared" si="3"/>
        <v>12073.428571428571</v>
      </c>
      <c r="O11" s="28">
        <f t="shared" si="3"/>
        <v>12073.428571428571</v>
      </c>
      <c r="P11" s="31">
        <f t="shared" si="1"/>
        <v>150000.00000000006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31">
        <f t="shared" si="2"/>
        <v>0</v>
      </c>
      <c r="I12" s="28">
        <f t="shared" si="3"/>
        <v>3714.2857142857142</v>
      </c>
      <c r="J12" s="28">
        <f t="shared" si="3"/>
        <v>3714.2857142857142</v>
      </c>
      <c r="K12" s="28">
        <f t="shared" si="3"/>
        <v>3714.2857142857142</v>
      </c>
      <c r="L12" s="28">
        <f t="shared" si="3"/>
        <v>3714.2857142857142</v>
      </c>
      <c r="M12" s="28">
        <f t="shared" si="3"/>
        <v>3714.2857142857142</v>
      </c>
      <c r="N12" s="28">
        <f t="shared" si="3"/>
        <v>3714.2857142857142</v>
      </c>
      <c r="O12" s="28">
        <f t="shared" si="3"/>
        <v>3714.2857142857142</v>
      </c>
      <c r="P12" s="31">
        <f t="shared" si="1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31">
        <f t="shared" si="2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8">
        <f t="shared" si="3"/>
        <v>0</v>
      </c>
      <c r="P13" s="31">
        <f t="shared" si="1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31">
        <f t="shared" si="2"/>
        <v>100788.94000000006</v>
      </c>
      <c r="I14" s="28">
        <f t="shared" si="3"/>
        <v>342744.43714285718</v>
      </c>
      <c r="J14" s="28">
        <f t="shared" si="3"/>
        <v>342744.43714285718</v>
      </c>
      <c r="K14" s="28">
        <f t="shared" si="3"/>
        <v>342744.43714285718</v>
      </c>
      <c r="L14" s="28">
        <f t="shared" si="3"/>
        <v>342744.43714285718</v>
      </c>
      <c r="M14" s="28">
        <f t="shared" si="3"/>
        <v>342744.43714285718</v>
      </c>
      <c r="N14" s="28">
        <f t="shared" si="3"/>
        <v>342744.43714285718</v>
      </c>
      <c r="O14" s="28">
        <f t="shared" si="3"/>
        <v>342744.43714285718</v>
      </c>
      <c r="P14" s="31">
        <f t="shared" si="1"/>
        <v>2500000.0000000005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31">
        <f t="shared" si="2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31">
        <f t="shared" si="1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31">
        <f t="shared" si="2"/>
        <v>478796</v>
      </c>
      <c r="I16" s="28">
        <f t="shared" si="3"/>
        <v>-4113.7142857142853</v>
      </c>
      <c r="J16" s="28">
        <f t="shared" si="3"/>
        <v>-4113.7142857142853</v>
      </c>
      <c r="K16" s="28">
        <f t="shared" si="3"/>
        <v>-4113.7142857142853</v>
      </c>
      <c r="L16" s="28">
        <f t="shared" si="3"/>
        <v>-4113.7142857142853</v>
      </c>
      <c r="M16" s="28">
        <f t="shared" si="3"/>
        <v>-4113.7142857142853</v>
      </c>
      <c r="N16" s="28">
        <f t="shared" si="3"/>
        <v>-4113.7142857142853</v>
      </c>
      <c r="O16" s="28">
        <f t="shared" si="3"/>
        <v>-4113.7142857142853</v>
      </c>
      <c r="P16" s="31">
        <f t="shared" si="1"/>
        <v>449999.99999999977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>SUM(C6:C16)</f>
        <v>4617346</v>
      </c>
      <c r="D17" s="18">
        <f>SUM(D6:D16)</f>
        <v>4617345</v>
      </c>
      <c r="E17" s="18">
        <v>17659330.199999999</v>
      </c>
      <c r="F17" s="18">
        <v>5184138.74</v>
      </c>
      <c r="G17" s="18">
        <v>5673309</v>
      </c>
      <c r="H17" s="31">
        <f>SUM(H6:H16)</f>
        <v>37751468.939999998</v>
      </c>
      <c r="I17" s="18">
        <f t="shared" ref="I17:O17" si="5">SUM(I6:I16)</f>
        <v>7522277.1514285719</v>
      </c>
      <c r="J17" s="18">
        <f t="shared" si="5"/>
        <v>7522277.1514285719</v>
      </c>
      <c r="K17" s="18">
        <f t="shared" si="5"/>
        <v>7522277.1514285719</v>
      </c>
      <c r="L17" s="18">
        <f t="shared" si="5"/>
        <v>7522277.1514285719</v>
      </c>
      <c r="M17" s="18">
        <f t="shared" si="5"/>
        <v>7522277.1514285719</v>
      </c>
      <c r="N17" s="18">
        <f t="shared" si="5"/>
        <v>7522277.1514285719</v>
      </c>
      <c r="O17" s="18">
        <f t="shared" si="5"/>
        <v>7522277.1514285719</v>
      </c>
      <c r="P17" s="31">
        <f t="shared" si="1"/>
        <v>90407408.999999955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31">
        <f t="shared" ref="H18:H33" si="6">SUM(C18:G18)</f>
        <v>0</v>
      </c>
      <c r="I18" s="28">
        <f t="shared" ref="I18:O31" si="7">($Q18-$H18)/7</f>
        <v>2000000</v>
      </c>
      <c r="J18" s="28">
        <f t="shared" si="7"/>
        <v>2000000</v>
      </c>
      <c r="K18" s="28">
        <f t="shared" si="7"/>
        <v>2000000</v>
      </c>
      <c r="L18" s="28">
        <f t="shared" si="7"/>
        <v>2000000</v>
      </c>
      <c r="M18" s="28">
        <f t="shared" si="7"/>
        <v>2000000</v>
      </c>
      <c r="N18" s="28">
        <f t="shared" si="7"/>
        <v>2000000</v>
      </c>
      <c r="O18" s="28">
        <f t="shared" si="7"/>
        <v>2000000</v>
      </c>
      <c r="P18" s="31">
        <f t="shared" si="1"/>
        <v>14000000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31">
        <f t="shared" si="6"/>
        <v>132482.60999999999</v>
      </c>
      <c r="I19" s="28">
        <f t="shared" si="7"/>
        <v>21073.912857142859</v>
      </c>
      <c r="J19" s="28">
        <f t="shared" si="7"/>
        <v>21073.912857142859</v>
      </c>
      <c r="K19" s="28">
        <f t="shared" si="7"/>
        <v>21073.912857142859</v>
      </c>
      <c r="L19" s="28">
        <f t="shared" si="7"/>
        <v>21073.912857142859</v>
      </c>
      <c r="M19" s="28">
        <f t="shared" si="7"/>
        <v>21073.912857142859</v>
      </c>
      <c r="N19" s="28">
        <f t="shared" si="7"/>
        <v>21073.912857142859</v>
      </c>
      <c r="O19" s="28">
        <f t="shared" si="7"/>
        <v>21073.912857142859</v>
      </c>
      <c r="P19" s="31">
        <f t="shared" si="1"/>
        <v>280000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31">
        <f t="shared" si="6"/>
        <v>410264.3</v>
      </c>
      <c r="I20" s="28">
        <f t="shared" si="7"/>
        <v>-27180.614285714284</v>
      </c>
      <c r="J20" s="28">
        <f t="shared" si="7"/>
        <v>-27180.614285714284</v>
      </c>
      <c r="K20" s="28">
        <f t="shared" si="7"/>
        <v>-27180.614285714284</v>
      </c>
      <c r="L20" s="28">
        <f t="shared" si="7"/>
        <v>-27180.614285714284</v>
      </c>
      <c r="M20" s="28">
        <f t="shared" si="7"/>
        <v>-27180.614285714284</v>
      </c>
      <c r="N20" s="28">
        <f t="shared" si="7"/>
        <v>-27180.614285714284</v>
      </c>
      <c r="O20" s="28">
        <f t="shared" si="7"/>
        <v>-27180.614285714284</v>
      </c>
      <c r="P20" s="31">
        <f t="shared" si="1"/>
        <v>220000.00000000029</v>
      </c>
      <c r="Q20" s="40">
        <v>220000</v>
      </c>
      <c r="R20" s="42">
        <f t="shared" si="4"/>
        <v>2.9103830456733704E-10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31">
        <f t="shared" si="6"/>
        <v>392132.55</v>
      </c>
      <c r="I21" s="28">
        <f t="shared" si="7"/>
        <v>-27447.507142857143</v>
      </c>
      <c r="J21" s="28">
        <f t="shared" si="7"/>
        <v>-27447.507142857143</v>
      </c>
      <c r="K21" s="28">
        <f t="shared" si="7"/>
        <v>-27447.507142857143</v>
      </c>
      <c r="L21" s="28">
        <f t="shared" si="7"/>
        <v>-27447.507142857143</v>
      </c>
      <c r="M21" s="28">
        <f t="shared" si="7"/>
        <v>-27447.507142857143</v>
      </c>
      <c r="N21" s="28">
        <f t="shared" si="7"/>
        <v>-27447.507142857143</v>
      </c>
      <c r="O21" s="28">
        <f t="shared" si="7"/>
        <v>-27447.507142857143</v>
      </c>
      <c r="P21" s="31">
        <f t="shared" si="1"/>
        <v>199999.99999999971</v>
      </c>
      <c r="Q21" s="40">
        <v>200000</v>
      </c>
      <c r="R21" s="42">
        <f t="shared" si="4"/>
        <v>-2.9103830456733704E-10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31">
        <f t="shared" si="6"/>
        <v>76617.55</v>
      </c>
      <c r="I22" s="28">
        <f t="shared" si="7"/>
        <v>1203340.3499999999</v>
      </c>
      <c r="J22" s="28">
        <f t="shared" si="7"/>
        <v>1203340.3499999999</v>
      </c>
      <c r="K22" s="28">
        <f t="shared" si="7"/>
        <v>1203340.3499999999</v>
      </c>
      <c r="L22" s="28">
        <f t="shared" si="7"/>
        <v>1203340.3499999999</v>
      </c>
      <c r="M22" s="28">
        <f t="shared" si="7"/>
        <v>1203340.3499999999</v>
      </c>
      <c r="N22" s="28">
        <f t="shared" si="7"/>
        <v>1203340.3499999999</v>
      </c>
      <c r="O22" s="28">
        <f t="shared" si="7"/>
        <v>1203340.3499999999</v>
      </c>
      <c r="P22" s="31">
        <f t="shared" si="1"/>
        <v>8499999.9999999981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31">
        <f t="shared" si="6"/>
        <v>0</v>
      </c>
      <c r="I23" s="28">
        <f t="shared" si="7"/>
        <v>267242.28571428574</v>
      </c>
      <c r="J23" s="28">
        <f t="shared" si="7"/>
        <v>267242.28571428574</v>
      </c>
      <c r="K23" s="28">
        <f t="shared" si="7"/>
        <v>267242.28571428574</v>
      </c>
      <c r="L23" s="28">
        <f t="shared" si="7"/>
        <v>267242.28571428574</v>
      </c>
      <c r="M23" s="28">
        <f t="shared" si="7"/>
        <v>267242.28571428574</v>
      </c>
      <c r="N23" s="28">
        <f t="shared" si="7"/>
        <v>267242.28571428574</v>
      </c>
      <c r="O23" s="28">
        <f t="shared" si="7"/>
        <v>267242.28571428574</v>
      </c>
      <c r="P23" s="31">
        <f t="shared" si="1"/>
        <v>1870696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31">
        <f t="shared" si="6"/>
        <v>25</v>
      </c>
      <c r="I24" s="28">
        <f t="shared" si="7"/>
        <v>-3.5714285714285716</v>
      </c>
      <c r="J24" s="28">
        <f t="shared" si="7"/>
        <v>-3.5714285714285716</v>
      </c>
      <c r="K24" s="28">
        <f t="shared" si="7"/>
        <v>-3.5714285714285716</v>
      </c>
      <c r="L24" s="28">
        <f t="shared" si="7"/>
        <v>-3.5714285714285716</v>
      </c>
      <c r="M24" s="28">
        <f t="shared" si="7"/>
        <v>-3.5714285714285716</v>
      </c>
      <c r="N24" s="28">
        <f t="shared" si="7"/>
        <v>-3.5714285714285716</v>
      </c>
      <c r="O24" s="28">
        <f t="shared" si="7"/>
        <v>-3.5714285714285716</v>
      </c>
      <c r="P24" s="31">
        <f t="shared" si="1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31">
        <f t="shared" si="6"/>
        <v>12588.8</v>
      </c>
      <c r="I25" s="28">
        <f t="shared" si="7"/>
        <v>1058.7428571428577</v>
      </c>
      <c r="J25" s="28">
        <f t="shared" si="7"/>
        <v>1058.7428571428577</v>
      </c>
      <c r="K25" s="28">
        <f t="shared" si="7"/>
        <v>1058.7428571428577</v>
      </c>
      <c r="L25" s="28">
        <f t="shared" si="7"/>
        <v>1058.7428571428577</v>
      </c>
      <c r="M25" s="28">
        <f t="shared" si="7"/>
        <v>1058.7428571428577</v>
      </c>
      <c r="N25" s="28">
        <f t="shared" si="7"/>
        <v>1058.7428571428577</v>
      </c>
      <c r="O25" s="28">
        <f t="shared" si="7"/>
        <v>1058.7428571428577</v>
      </c>
      <c r="P25" s="31">
        <f t="shared" si="1"/>
        <v>20000</v>
      </c>
      <c r="Q25" s="40">
        <v>20000.000000000004</v>
      </c>
      <c r="R25" s="42">
        <f t="shared" si="4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31">
        <f t="shared" si="6"/>
        <v>279439.57</v>
      </c>
      <c r="I26" s="28">
        <f t="shared" si="7"/>
        <v>-25634.224285714288</v>
      </c>
      <c r="J26" s="28">
        <f t="shared" si="7"/>
        <v>-25634.224285714288</v>
      </c>
      <c r="K26" s="28">
        <f t="shared" si="7"/>
        <v>-25634.224285714288</v>
      </c>
      <c r="L26" s="28">
        <f t="shared" si="7"/>
        <v>-25634.224285714288</v>
      </c>
      <c r="M26" s="28">
        <f t="shared" si="7"/>
        <v>-25634.224285714288</v>
      </c>
      <c r="N26" s="28">
        <f t="shared" si="7"/>
        <v>-25634.224285714288</v>
      </c>
      <c r="O26" s="28">
        <f t="shared" si="7"/>
        <v>-25634.224285714288</v>
      </c>
      <c r="P26" s="31">
        <f t="shared" si="1"/>
        <v>100000.00000000006</v>
      </c>
      <c r="Q26" s="40">
        <v>100000</v>
      </c>
      <c r="R26" s="42">
        <f t="shared" si="4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31">
        <f t="shared" si="6"/>
        <v>0</v>
      </c>
      <c r="I27" s="28">
        <f t="shared" si="7"/>
        <v>17857.142857142859</v>
      </c>
      <c r="J27" s="28">
        <f t="shared" si="7"/>
        <v>17857.142857142859</v>
      </c>
      <c r="K27" s="28">
        <f t="shared" si="7"/>
        <v>17857.142857142859</v>
      </c>
      <c r="L27" s="28">
        <f t="shared" si="7"/>
        <v>17857.142857142859</v>
      </c>
      <c r="M27" s="28">
        <f t="shared" si="7"/>
        <v>17857.142857142859</v>
      </c>
      <c r="N27" s="28">
        <f t="shared" si="7"/>
        <v>17857.142857142859</v>
      </c>
      <c r="O27" s="28">
        <f t="shared" si="7"/>
        <v>17857.142857142859</v>
      </c>
      <c r="P27" s="31">
        <f t="shared" si="1"/>
        <v>125000</v>
      </c>
      <c r="Q27" s="40">
        <v>125000</v>
      </c>
      <c r="R27" s="42">
        <f t="shared" si="4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31">
        <f t="shared" si="6"/>
        <v>1087525</v>
      </c>
      <c r="I28" s="28">
        <f t="shared" si="7"/>
        <v>130353.57142857143</v>
      </c>
      <c r="J28" s="28">
        <f t="shared" si="7"/>
        <v>130353.57142857143</v>
      </c>
      <c r="K28" s="28">
        <f t="shared" si="7"/>
        <v>130353.57142857143</v>
      </c>
      <c r="L28" s="28">
        <f t="shared" si="7"/>
        <v>130353.57142857143</v>
      </c>
      <c r="M28" s="28">
        <f t="shared" si="7"/>
        <v>130353.57142857143</v>
      </c>
      <c r="N28" s="28">
        <f t="shared" si="7"/>
        <v>130353.57142857143</v>
      </c>
      <c r="O28" s="28">
        <f t="shared" si="7"/>
        <v>130353.57142857143</v>
      </c>
      <c r="P28" s="31">
        <f t="shared" si="1"/>
        <v>1999999.9999999995</v>
      </c>
      <c r="Q28" s="40">
        <v>2000000</v>
      </c>
      <c r="R28" s="42">
        <f t="shared" si="4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31">
        <f t="shared" si="6"/>
        <v>4080</v>
      </c>
      <c r="I29" s="28">
        <f t="shared" si="7"/>
        <v>845.71428571428567</v>
      </c>
      <c r="J29" s="28">
        <f t="shared" si="7"/>
        <v>845.71428571428567</v>
      </c>
      <c r="K29" s="28">
        <f t="shared" si="7"/>
        <v>845.71428571428567</v>
      </c>
      <c r="L29" s="28">
        <f t="shared" si="7"/>
        <v>845.71428571428567</v>
      </c>
      <c r="M29" s="28">
        <f t="shared" si="7"/>
        <v>845.71428571428567</v>
      </c>
      <c r="N29" s="28">
        <f t="shared" si="7"/>
        <v>845.71428571428567</v>
      </c>
      <c r="O29" s="28">
        <f t="shared" si="7"/>
        <v>845.71428571428567</v>
      </c>
      <c r="P29" s="31">
        <f t="shared" si="1"/>
        <v>10000.000000000004</v>
      </c>
      <c r="Q29" s="40">
        <v>10000</v>
      </c>
      <c r="R29" s="42">
        <f t="shared" si="4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31">
        <f t="shared" si="6"/>
        <v>46838.2</v>
      </c>
      <c r="I30" s="28">
        <f t="shared" si="7"/>
        <v>14737.4</v>
      </c>
      <c r="J30" s="28">
        <f t="shared" si="7"/>
        <v>14737.4</v>
      </c>
      <c r="K30" s="28">
        <f t="shared" si="7"/>
        <v>14737.4</v>
      </c>
      <c r="L30" s="28">
        <f t="shared" si="7"/>
        <v>14737.4</v>
      </c>
      <c r="M30" s="28">
        <f t="shared" si="7"/>
        <v>14737.4</v>
      </c>
      <c r="N30" s="28">
        <f t="shared" si="7"/>
        <v>14737.4</v>
      </c>
      <c r="O30" s="28">
        <f t="shared" si="7"/>
        <v>14737.4</v>
      </c>
      <c r="P30" s="31">
        <f t="shared" si="1"/>
        <v>149999.99999999994</v>
      </c>
      <c r="Q30" s="40">
        <v>150000</v>
      </c>
      <c r="R30" s="42">
        <f t="shared" si="4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31">
        <f t="shared" si="6"/>
        <v>2002606.5</v>
      </c>
      <c r="I31" s="28">
        <f t="shared" si="7"/>
        <v>271256.78571428574</v>
      </c>
      <c r="J31" s="28">
        <f t="shared" si="7"/>
        <v>271256.78571428574</v>
      </c>
      <c r="K31" s="28">
        <f t="shared" si="7"/>
        <v>271256.78571428574</v>
      </c>
      <c r="L31" s="28">
        <f t="shared" si="7"/>
        <v>271256.78571428574</v>
      </c>
      <c r="M31" s="28">
        <f t="shared" si="7"/>
        <v>271256.78571428574</v>
      </c>
      <c r="N31" s="28">
        <f t="shared" si="7"/>
        <v>271256.78571428574</v>
      </c>
      <c r="O31" s="28">
        <f t="shared" si="7"/>
        <v>271256.78571428574</v>
      </c>
      <c r="P31" s="31">
        <f t="shared" si="1"/>
        <v>3901403.9999999981</v>
      </c>
      <c r="Q31" s="40">
        <v>3901404</v>
      </c>
      <c r="R31" s="42">
        <f t="shared" si="4"/>
        <v>0</v>
      </c>
    </row>
    <row r="32" spans="1:18" s="1" customFormat="1" ht="19.7" customHeight="1" x14ac:dyDescent="0.2">
      <c r="A32" s="47" t="s">
        <v>124</v>
      </c>
      <c r="B32" s="48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31"/>
      <c r="I32" s="28"/>
      <c r="J32" s="28"/>
      <c r="K32" s="28"/>
      <c r="L32" s="28"/>
      <c r="M32" s="28"/>
      <c r="N32" s="28"/>
      <c r="O32" s="28"/>
      <c r="P32" s="31"/>
      <c r="Q32" s="40"/>
      <c r="R32" s="42"/>
    </row>
    <row r="33" spans="1:18" s="1" customFormat="1" ht="19.7" customHeight="1" x14ac:dyDescent="0.2">
      <c r="A33" s="23" t="s">
        <v>113</v>
      </c>
      <c r="B33" s="24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7174.92</v>
      </c>
      <c r="H33" s="31">
        <f t="shared" si="6"/>
        <v>41040.22</v>
      </c>
      <c r="I33" s="28">
        <f t="shared" ref="I33:O33" si="8">($Q33-$H33)/7</f>
        <v>12708.539999999999</v>
      </c>
      <c r="J33" s="28">
        <f t="shared" si="8"/>
        <v>12708.539999999999</v>
      </c>
      <c r="K33" s="28">
        <f t="shared" si="8"/>
        <v>12708.539999999999</v>
      </c>
      <c r="L33" s="28">
        <f t="shared" si="8"/>
        <v>12708.539999999999</v>
      </c>
      <c r="M33" s="28">
        <f t="shared" si="8"/>
        <v>12708.539999999999</v>
      </c>
      <c r="N33" s="28">
        <f t="shared" si="8"/>
        <v>12708.539999999999</v>
      </c>
      <c r="O33" s="28">
        <f t="shared" si="8"/>
        <v>12708.539999999999</v>
      </c>
      <c r="P33" s="31">
        <f>SUM(C33:O33)-H33</f>
        <v>130000</v>
      </c>
      <c r="Q33" s="40">
        <v>130000</v>
      </c>
      <c r="R33" s="42">
        <f t="shared" si="4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f>SUM(C18:C33)</f>
        <v>424767.23</v>
      </c>
      <c r="D34" s="18">
        <f>SUM(D18:D33)</f>
        <v>3103537.6500000004</v>
      </c>
      <c r="E34" s="18">
        <v>60252.72</v>
      </c>
      <c r="F34" s="18">
        <v>263656.40999999997</v>
      </c>
      <c r="G34" s="18">
        <v>633436.29</v>
      </c>
      <c r="H34" s="31">
        <f>SUM(H18:H33)</f>
        <v>4485640.3</v>
      </c>
      <c r="I34" s="18">
        <f t="shared" ref="I34:N34" si="9">SUM(I18:I33)</f>
        <v>3860208.5285714283</v>
      </c>
      <c r="J34" s="18">
        <f t="shared" si="9"/>
        <v>3860208.5285714283</v>
      </c>
      <c r="K34" s="18">
        <f t="shared" si="9"/>
        <v>3860208.5285714283</v>
      </c>
      <c r="L34" s="18">
        <f t="shared" si="9"/>
        <v>3860208.5285714283</v>
      </c>
      <c r="M34" s="18">
        <f t="shared" si="9"/>
        <v>3860208.5285714283</v>
      </c>
      <c r="N34" s="18">
        <f t="shared" si="9"/>
        <v>3860208.5285714283</v>
      </c>
      <c r="O34" s="18">
        <f>SUM(O18:O33)</f>
        <v>3860208.5285714283</v>
      </c>
      <c r="P34" s="31">
        <f>SUM(C34:O34)-H34</f>
        <v>31507109.999999996</v>
      </c>
      <c r="Q34" s="40"/>
      <c r="R34" s="42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:G35" si="10">F34+F17+F5</f>
        <v>5240232.1500000004</v>
      </c>
      <c r="G35" s="19">
        <f t="shared" si="10"/>
        <v>6306745.29</v>
      </c>
      <c r="H35" s="31">
        <f>SUM(C35:G35)</f>
        <v>42237119.239999995</v>
      </c>
      <c r="I35" s="19">
        <f t="shared" ref="I35:O35" si="11">I34+I17+I5</f>
        <v>11382485.68</v>
      </c>
      <c r="J35" s="19">
        <f t="shared" si="11"/>
        <v>11382485.68</v>
      </c>
      <c r="K35" s="19">
        <f t="shared" si="11"/>
        <v>11382485.68</v>
      </c>
      <c r="L35" s="19">
        <f t="shared" si="11"/>
        <v>11382485.68</v>
      </c>
      <c r="M35" s="19">
        <f t="shared" si="11"/>
        <v>11382485.68</v>
      </c>
      <c r="N35" s="19">
        <f t="shared" si="11"/>
        <v>11382485.68</v>
      </c>
      <c r="O35" s="19">
        <f t="shared" si="11"/>
        <v>11382485.68</v>
      </c>
      <c r="P35" s="32">
        <f>P34+P17+P5</f>
        <v>121914518.99999996</v>
      </c>
      <c r="Q35" s="41"/>
      <c r="R35" s="42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30"/>
      <c r="I36" s="17"/>
      <c r="J36" s="17"/>
      <c r="K36" s="17"/>
      <c r="L36" s="17"/>
      <c r="M36" s="17"/>
      <c r="N36" s="17"/>
      <c r="O36" s="17"/>
      <c r="P36" s="30"/>
      <c r="R36" s="42">
        <f t="shared" si="4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4237850.93</v>
      </c>
      <c r="H37" s="31">
        <f t="shared" ref="H37:H45" si="12">SUM(C37:G37)</f>
        <v>12620759.469999999</v>
      </c>
      <c r="I37" s="18">
        <f t="shared" ref="I37:N42" si="13">($Q37-$H37)/8</f>
        <v>4401938.1912500001</v>
      </c>
      <c r="J37" s="18">
        <f t="shared" si="13"/>
        <v>4401938.1912500001</v>
      </c>
      <c r="K37" s="18">
        <f t="shared" si="13"/>
        <v>4401938.1912500001</v>
      </c>
      <c r="L37" s="18">
        <f t="shared" si="13"/>
        <v>4401938.1912500001</v>
      </c>
      <c r="M37" s="18">
        <f t="shared" si="13"/>
        <v>4401938.1912500001</v>
      </c>
      <c r="N37" s="18">
        <f t="shared" si="13"/>
        <v>4401938.1912500001</v>
      </c>
      <c r="O37" s="18">
        <f t="shared" ref="O37:O42" si="14">($Q37-$H37)/8*2</f>
        <v>8803876.3825000003</v>
      </c>
      <c r="P37" s="31">
        <f t="shared" ref="P37:P42" si="15">SUM(C37:O37)-H37</f>
        <v>47836264.999999993</v>
      </c>
      <c r="Q37" s="40">
        <v>47836265</v>
      </c>
      <c r="R37" s="42">
        <f t="shared" si="4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31">
        <f t="shared" si="12"/>
        <v>7852944.7299999995</v>
      </c>
      <c r="I38" s="18">
        <f t="shared" si="13"/>
        <v>1988504.2837499999</v>
      </c>
      <c r="J38" s="18">
        <f t="shared" si="13"/>
        <v>1988504.2837499999</v>
      </c>
      <c r="K38" s="18">
        <f t="shared" si="13"/>
        <v>1988504.2837499999</v>
      </c>
      <c r="L38" s="18">
        <f t="shared" si="13"/>
        <v>1988504.2837499999</v>
      </c>
      <c r="M38" s="18">
        <f t="shared" si="13"/>
        <v>1988504.2837499999</v>
      </c>
      <c r="N38" s="18">
        <f t="shared" si="13"/>
        <v>1988504.2837499999</v>
      </c>
      <c r="O38" s="18">
        <f t="shared" si="14"/>
        <v>3977008.5674999999</v>
      </c>
      <c r="P38" s="31">
        <f t="shared" si="15"/>
        <v>23760979.000000004</v>
      </c>
      <c r="Q38" s="40">
        <v>23760979</v>
      </c>
      <c r="R38" s="42">
        <f t="shared" si="4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2594080.6399999899</v>
      </c>
      <c r="H39" s="31">
        <f t="shared" si="12"/>
        <v>7494822.5599999819</v>
      </c>
      <c r="I39" s="18">
        <f t="shared" si="13"/>
        <v>3084614.4300000025</v>
      </c>
      <c r="J39" s="18">
        <f t="shared" si="13"/>
        <v>3084614.4300000025</v>
      </c>
      <c r="K39" s="18">
        <f t="shared" si="13"/>
        <v>3084614.4300000025</v>
      </c>
      <c r="L39" s="18">
        <f t="shared" si="13"/>
        <v>3084614.4300000025</v>
      </c>
      <c r="M39" s="18">
        <f t="shared" si="13"/>
        <v>3084614.4300000025</v>
      </c>
      <c r="N39" s="18">
        <f t="shared" si="13"/>
        <v>3084614.4300000025</v>
      </c>
      <c r="O39" s="18">
        <f t="shared" si="14"/>
        <v>6169228.860000005</v>
      </c>
      <c r="P39" s="31">
        <f t="shared" si="15"/>
        <v>32171738.000000007</v>
      </c>
      <c r="Q39" s="40">
        <v>32171738</v>
      </c>
      <c r="R39" s="42">
        <f t="shared" si="4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31">
        <f t="shared" si="12"/>
        <v>139736.46000000002</v>
      </c>
      <c r="I40" s="18">
        <f t="shared" si="13"/>
        <v>34334.567499999997</v>
      </c>
      <c r="J40" s="18">
        <f t="shared" si="13"/>
        <v>34334.567499999997</v>
      </c>
      <c r="K40" s="18">
        <f t="shared" si="13"/>
        <v>34334.567499999997</v>
      </c>
      <c r="L40" s="18">
        <f t="shared" si="13"/>
        <v>34334.567499999997</v>
      </c>
      <c r="M40" s="18">
        <f t="shared" si="13"/>
        <v>34334.567499999997</v>
      </c>
      <c r="N40" s="18">
        <f t="shared" si="13"/>
        <v>34334.567499999997</v>
      </c>
      <c r="O40" s="18">
        <f t="shared" si="14"/>
        <v>68669.134999999995</v>
      </c>
      <c r="P40" s="31">
        <f t="shared" si="15"/>
        <v>414413.00000000006</v>
      </c>
      <c r="Q40" s="40">
        <v>414413</v>
      </c>
      <c r="R40" s="42">
        <f t="shared" si="4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1145802.1200000001</v>
      </c>
      <c r="H41" s="31">
        <f t="shared" si="12"/>
        <v>3825252.6</v>
      </c>
      <c r="I41" s="18">
        <f t="shared" si="13"/>
        <v>1064236.05</v>
      </c>
      <c r="J41" s="18">
        <f t="shared" si="13"/>
        <v>1064236.05</v>
      </c>
      <c r="K41" s="18">
        <f t="shared" si="13"/>
        <v>1064236.05</v>
      </c>
      <c r="L41" s="18">
        <f t="shared" si="13"/>
        <v>1064236.05</v>
      </c>
      <c r="M41" s="18">
        <f t="shared" si="13"/>
        <v>1064236.05</v>
      </c>
      <c r="N41" s="18">
        <f t="shared" si="13"/>
        <v>1064236.05</v>
      </c>
      <c r="O41" s="18">
        <f t="shared" si="14"/>
        <v>2128472.1</v>
      </c>
      <c r="P41" s="31">
        <f t="shared" si="15"/>
        <v>12339141.000000004</v>
      </c>
      <c r="Q41" s="40">
        <v>12339141</v>
      </c>
      <c r="R41" s="42">
        <f t="shared" si="4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31">
        <f t="shared" si="12"/>
        <v>-11939.839999999998</v>
      </c>
      <c r="I42" s="18">
        <f t="shared" si="13"/>
        <v>42486.23</v>
      </c>
      <c r="J42" s="18">
        <f t="shared" si="13"/>
        <v>42486.23</v>
      </c>
      <c r="K42" s="18">
        <f t="shared" si="13"/>
        <v>42486.23</v>
      </c>
      <c r="L42" s="18">
        <f t="shared" si="13"/>
        <v>42486.23</v>
      </c>
      <c r="M42" s="18">
        <f t="shared" si="13"/>
        <v>42486.23</v>
      </c>
      <c r="N42" s="18">
        <f t="shared" si="13"/>
        <v>42486.23</v>
      </c>
      <c r="O42" s="18">
        <f t="shared" si="14"/>
        <v>84972.46</v>
      </c>
      <c r="P42" s="31">
        <f t="shared" si="15"/>
        <v>327950.00000000006</v>
      </c>
      <c r="Q42" s="40">
        <v>327950</v>
      </c>
      <c r="R42" s="42">
        <f t="shared" si="4"/>
        <v>0</v>
      </c>
    </row>
    <row r="43" spans="1:18" s="1" customFormat="1" ht="19.7" customHeight="1" x14ac:dyDescent="0.2">
      <c r="A43" s="49" t="s">
        <v>126</v>
      </c>
      <c r="B43" s="49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31">
        <f t="shared" si="12"/>
        <v>1750000</v>
      </c>
      <c r="I43" s="18"/>
      <c r="J43" s="18"/>
      <c r="K43" s="18"/>
      <c r="L43" s="18"/>
      <c r="M43" s="18"/>
      <c r="N43" s="18"/>
      <c r="O43" s="18"/>
      <c r="P43" s="31"/>
      <c r="Q43" s="40"/>
      <c r="R43" s="42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31">
        <f t="shared" si="12"/>
        <v>314579.42000000004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31">
        <f>SUM(C44:O44)-H44</f>
        <v>314579.42000000004</v>
      </c>
      <c r="Q44" s="40">
        <v>0</v>
      </c>
      <c r="R44" s="42">
        <f t="shared" si="4"/>
        <v>314579.42000000004</v>
      </c>
    </row>
    <row r="45" spans="1:18" s="1" customFormat="1" ht="19.7" customHeight="1" thickBot="1" x14ac:dyDescent="0.25">
      <c r="A45" s="8" t="s">
        <v>40</v>
      </c>
      <c r="B45" s="11"/>
      <c r="C45" s="19">
        <f>SUM(C37:C44)</f>
        <v>1369828.38</v>
      </c>
      <c r="D45" s="19">
        <f>SUM(D37:D44)</f>
        <v>6080445.1800000006</v>
      </c>
      <c r="E45" s="19">
        <f>SUM(E37:E44)</f>
        <v>5127705.7400000021</v>
      </c>
      <c r="F45" s="19">
        <f>SUM(F37:F44)</f>
        <v>9974039.2999999896</v>
      </c>
      <c r="G45" s="19">
        <f>SUM(G37:G44)</f>
        <v>11434136.79999999</v>
      </c>
      <c r="H45" s="31">
        <f t="shared" si="12"/>
        <v>33986155.399999984</v>
      </c>
      <c r="I45" s="19">
        <f t="shared" ref="I45:O45" si="16">SUM(I37:I44)</f>
        <v>10616113.752500003</v>
      </c>
      <c r="J45" s="19">
        <f t="shared" si="16"/>
        <v>10616113.752500003</v>
      </c>
      <c r="K45" s="19">
        <f t="shared" si="16"/>
        <v>10616113.752500003</v>
      </c>
      <c r="L45" s="19">
        <f t="shared" si="16"/>
        <v>10616113.752500003</v>
      </c>
      <c r="M45" s="19">
        <f t="shared" si="16"/>
        <v>10616113.752500003</v>
      </c>
      <c r="N45" s="19">
        <f t="shared" si="16"/>
        <v>10616113.752500003</v>
      </c>
      <c r="O45" s="19">
        <f t="shared" si="16"/>
        <v>21232227.505000006</v>
      </c>
      <c r="P45" s="32">
        <f>SUM(P37:P44)</f>
        <v>117165065.42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30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customHeight="1" x14ac:dyDescent="0.2">
      <c r="A47" s="3" t="s">
        <v>41</v>
      </c>
      <c r="B47" s="5"/>
      <c r="C47" s="16">
        <f t="shared" ref="C47:O47" si="17">C35-C45</f>
        <v>3672284.8500000006</v>
      </c>
      <c r="D47" s="16">
        <f t="shared" si="17"/>
        <v>1640437.4699999997</v>
      </c>
      <c r="E47" s="16">
        <f>E35-E45</f>
        <v>12799440.179999996</v>
      </c>
      <c r="F47" s="16">
        <f>F35-F45</f>
        <v>-4733807.1499999892</v>
      </c>
      <c r="G47" s="16">
        <f>G35-G45</f>
        <v>-5127391.5099999895</v>
      </c>
      <c r="H47" s="33">
        <f>H35-H45</f>
        <v>8250963.840000011</v>
      </c>
      <c r="I47" s="16">
        <f t="shared" si="17"/>
        <v>766371.9274999965</v>
      </c>
      <c r="J47" s="16">
        <f t="shared" si="17"/>
        <v>766371.9274999965</v>
      </c>
      <c r="K47" s="16">
        <f t="shared" si="17"/>
        <v>766371.9274999965</v>
      </c>
      <c r="L47" s="16">
        <f t="shared" si="17"/>
        <v>766371.9274999965</v>
      </c>
      <c r="M47" s="16">
        <f t="shared" si="17"/>
        <v>766371.9274999965</v>
      </c>
      <c r="N47" s="16">
        <f t="shared" si="17"/>
        <v>766371.9274999965</v>
      </c>
      <c r="O47" s="16">
        <f t="shared" si="17"/>
        <v>-9849741.8250000067</v>
      </c>
      <c r="P47" s="26">
        <f>SUM(C47:O47)-H47</f>
        <v>2999453.5799999796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30"/>
      <c r="I48" s="17"/>
      <c r="J48" s="17"/>
      <c r="K48" s="17"/>
      <c r="L48" s="17"/>
      <c r="M48" s="17"/>
      <c r="N48" s="17"/>
      <c r="O48" s="17"/>
      <c r="P48" s="30"/>
    </row>
    <row r="49" spans="1:16" s="1" customFormat="1" ht="19.7" hidden="1" customHeight="1" x14ac:dyDescent="0.2">
      <c r="A49" s="46" t="s">
        <v>42</v>
      </c>
      <c r="B49" s="6"/>
      <c r="C49" s="17"/>
      <c r="D49" s="17"/>
      <c r="E49" s="17"/>
      <c r="F49" s="17"/>
      <c r="G49" s="17"/>
      <c r="H49" s="30"/>
      <c r="I49" s="17"/>
      <c r="J49" s="17"/>
      <c r="K49" s="17"/>
      <c r="L49" s="17"/>
      <c r="M49" s="17"/>
      <c r="N49" s="17"/>
      <c r="O49" s="17"/>
      <c r="P49" s="30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31"/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31"/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31"/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30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31"/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46" t="s">
        <v>51</v>
      </c>
      <c r="B54" s="6"/>
      <c r="C54" s="17"/>
      <c r="D54" s="17"/>
      <c r="E54" s="17"/>
      <c r="F54" s="17"/>
      <c r="G54" s="17"/>
      <c r="H54" s="31"/>
      <c r="I54" s="17"/>
      <c r="J54" s="17"/>
      <c r="K54" s="17"/>
      <c r="L54" s="17"/>
      <c r="M54" s="17"/>
      <c r="N54" s="17"/>
      <c r="O54" s="17"/>
      <c r="P54" s="30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31"/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183700.55</v>
      </c>
      <c r="H56" s="31"/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-97457.45</v>
      </c>
      <c r="H57" s="31"/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31"/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31"/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31"/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31"/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30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31"/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30"/>
    </row>
    <row r="63" spans="1:16" s="1" customFormat="1" ht="19.7" customHeight="1" thickBot="1" x14ac:dyDescent="0.25">
      <c r="A63" s="8" t="s">
        <v>66</v>
      </c>
      <c r="B63" s="11"/>
      <c r="C63" s="19">
        <f>SUM(C50:C62)</f>
        <v>-10071021.609999999</v>
      </c>
      <c r="D63" s="19">
        <f>SUM(D50:D62)</f>
        <v>-2775027.34</v>
      </c>
      <c r="E63" s="19">
        <f>SUM(E50:E62)</f>
        <v>206991.87</v>
      </c>
      <c r="F63" s="19">
        <f>SUM(F50:F62)</f>
        <v>1193721</v>
      </c>
      <c r="G63" s="19">
        <f>SUM(G50:G62)</f>
        <v>279063.7</v>
      </c>
      <c r="H63" s="32"/>
      <c r="I63" s="19">
        <v>-1200000</v>
      </c>
      <c r="J63" s="19">
        <v>-1200000</v>
      </c>
      <c r="K63" s="19">
        <v>-1200000</v>
      </c>
      <c r="L63" s="19">
        <v>-1200000</v>
      </c>
      <c r="M63" s="19">
        <v>-1200000</v>
      </c>
      <c r="N63" s="19">
        <v>-1200000</v>
      </c>
      <c r="O63" s="19">
        <v>-1200000</v>
      </c>
      <c r="P63" s="38"/>
    </row>
    <row r="64" spans="1:16" s="1" customFormat="1" ht="18.2" customHeight="1" x14ac:dyDescent="0.2">
      <c r="A64" s="6"/>
      <c r="B64" s="6"/>
      <c r="C64" s="17"/>
      <c r="D64" s="17"/>
      <c r="E64" s="17"/>
      <c r="F64" s="17"/>
      <c r="G64" s="17"/>
      <c r="H64" s="30"/>
      <c r="I64" s="17"/>
      <c r="J64" s="17"/>
      <c r="K64" s="17"/>
      <c r="L64" s="17"/>
      <c r="M64" s="17"/>
      <c r="N64" s="17"/>
      <c r="O64" s="17"/>
      <c r="P64" s="30"/>
    </row>
    <row r="65" spans="1:16" s="1" customFormat="1" ht="19.7" customHeight="1" thickBot="1" x14ac:dyDescent="0.25">
      <c r="A65" s="13" t="s">
        <v>67</v>
      </c>
      <c r="B65" s="14"/>
      <c r="C65" s="20">
        <f>C3+C47+C63</f>
        <v>17276325.860000003</v>
      </c>
      <c r="D65" s="20">
        <f>D3+D47+D63</f>
        <v>16141735.990000002</v>
      </c>
      <c r="E65" s="20">
        <f>E3+E47+E63</f>
        <v>29148168.039999999</v>
      </c>
      <c r="F65" s="20">
        <f>F3+F47+F63</f>
        <v>25608081.890000008</v>
      </c>
      <c r="G65" s="20">
        <f>G3+G47+G63</f>
        <v>20759754.080000017</v>
      </c>
      <c r="H65" s="34"/>
      <c r="I65" s="20">
        <f t="shared" ref="I65:O65" si="18">I3+I47+I63</f>
        <v>20326126.007500015</v>
      </c>
      <c r="J65" s="20">
        <f t="shared" si="18"/>
        <v>19892497.93500001</v>
      </c>
      <c r="K65" s="20">
        <f t="shared" si="18"/>
        <v>19458869.862500004</v>
      </c>
      <c r="L65" s="20">
        <f t="shared" si="18"/>
        <v>19025241.789999999</v>
      </c>
      <c r="M65" s="20">
        <f t="shared" si="18"/>
        <v>18591613.717499994</v>
      </c>
      <c r="N65" s="20">
        <f t="shared" si="18"/>
        <v>18157985.644999988</v>
      </c>
      <c r="O65" s="20">
        <f t="shared" si="18"/>
        <v>7108243.8199999817</v>
      </c>
      <c r="P65" s="39"/>
    </row>
    <row r="66" spans="1:16" s="1" customFormat="1" ht="28.7" customHeight="1" x14ac:dyDescent="0.2">
      <c r="C66" s="21"/>
      <c r="D66" s="21"/>
      <c r="E66" s="21"/>
      <c r="F66" s="21"/>
      <c r="G66" s="21"/>
      <c r="H66" s="35"/>
      <c r="I66" s="21"/>
      <c r="J66" s="21"/>
      <c r="K66" s="21"/>
      <c r="L66" s="21"/>
      <c r="M66" s="21"/>
      <c r="N66" s="21"/>
      <c r="O66" s="21"/>
      <c r="P66" s="21"/>
    </row>
  </sheetData>
  <sheetProtection algorithmName="SHA-512" hashValue="9N3fw6oKWMZSK23k2dl1/1J+FJrc08zKA4vd789KgoAXruZTEyN/kxKON/TGS7joU/TSbDqjlYbDzF2jYVtuNw==" saltValue="IggP9bc8RXJJStQQnwjkPQ==" spinCount="100000" sheet="1" objects="1" scenarios="1"/>
  <mergeCells count="2">
    <mergeCell ref="A1:B1"/>
    <mergeCell ref="E1:G1"/>
  </mergeCells>
  <pageMargins left="0.7" right="0.7" top="0.75" bottom="0.75" header="0.3" footer="0.3"/>
  <pageSetup paperSize="9" scale="3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4FC9-A112-4902-9B54-BBB9BECDAB5D}">
  <sheetPr>
    <pageSetUpPr fitToPage="1"/>
  </sheetPr>
  <dimension ref="A1:R6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37" sqref="H37"/>
    </sheetView>
  </sheetViews>
  <sheetFormatPr defaultRowHeight="12.75" x14ac:dyDescent="0.2"/>
  <cols>
    <col min="1" max="1" width="35.5703125" customWidth="1"/>
    <col min="2" max="2" width="20" customWidth="1"/>
    <col min="3" max="6" width="20" style="22" customWidth="1"/>
    <col min="7" max="7" width="22.42578125" style="36" bestFit="1" customWidth="1"/>
    <col min="8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9" t="s">
        <v>0</v>
      </c>
      <c r="B1" s="69"/>
      <c r="C1" s="27"/>
      <c r="D1" s="27"/>
      <c r="E1" s="27"/>
      <c r="F1" s="27"/>
      <c r="G1" s="29"/>
      <c r="H1" s="70" t="s">
        <v>1</v>
      </c>
      <c r="I1" s="70"/>
      <c r="J1" s="70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25" t="s">
        <v>16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C63</f>
        <v>17276325.860000003</v>
      </c>
      <c r="E3" s="16">
        <f>D63</f>
        <v>16141735.990000002</v>
      </c>
      <c r="F3" s="16">
        <f>E63</f>
        <v>29148168.039999999</v>
      </c>
      <c r="G3" s="26" t="s">
        <v>123</v>
      </c>
      <c r="H3" s="16">
        <f>F63</f>
        <v>25346565.250000011</v>
      </c>
      <c r="I3" s="16">
        <f t="shared" ref="I3:O3" si="0">H63</f>
        <v>24352916.127916679</v>
      </c>
      <c r="J3" s="16">
        <f t="shared" si="0"/>
        <v>23359267.005833346</v>
      </c>
      <c r="K3" s="16">
        <f t="shared" si="0"/>
        <v>22365617.883750014</v>
      </c>
      <c r="L3" s="16">
        <f t="shared" si="0"/>
        <v>21371968.761666682</v>
      </c>
      <c r="M3" s="16">
        <f t="shared" si="0"/>
        <v>20378319.639583349</v>
      </c>
      <c r="N3" s="16">
        <f t="shared" si="0"/>
        <v>19384670.517500017</v>
      </c>
      <c r="O3" s="16">
        <f t="shared" si="0"/>
        <v>18391021.395416684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30"/>
      <c r="H4" s="17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31">
        <f t="shared" ref="G5:G16" si="1">SUM(C5:F5)</f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3" si="2">SUM(C5:O5)-G5</f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31">
        <f t="shared" si="1"/>
        <v>21076246</v>
      </c>
      <c r="H6" s="28">
        <f t="shared" ref="H6:O16" si="3">($Q6-$G6)/8</f>
        <v>7968956.375</v>
      </c>
      <c r="I6" s="28">
        <f t="shared" si="3"/>
        <v>7968956.375</v>
      </c>
      <c r="J6" s="28">
        <f t="shared" si="3"/>
        <v>7968956.375</v>
      </c>
      <c r="K6" s="28">
        <f t="shared" si="3"/>
        <v>7968956.375</v>
      </c>
      <c r="L6" s="28">
        <f t="shared" si="3"/>
        <v>7968956.375</v>
      </c>
      <c r="M6" s="28">
        <f t="shared" si="3"/>
        <v>7968956.375</v>
      </c>
      <c r="N6" s="28">
        <f t="shared" si="3"/>
        <v>7968956.375</v>
      </c>
      <c r="O6" s="28">
        <f t="shared" si="3"/>
        <v>7968956.375</v>
      </c>
      <c r="P6" s="31">
        <f t="shared" si="2"/>
        <v>84827897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31">
        <f t="shared" si="1"/>
        <v>681535</v>
      </c>
      <c r="H7" s="28">
        <f t="shared" si="3"/>
        <v>138997.125</v>
      </c>
      <c r="I7" s="28">
        <f t="shared" si="3"/>
        <v>138997.125</v>
      </c>
      <c r="J7" s="28">
        <f t="shared" si="3"/>
        <v>138997.125</v>
      </c>
      <c r="K7" s="28">
        <f t="shared" si="3"/>
        <v>138997.125</v>
      </c>
      <c r="L7" s="28">
        <f t="shared" si="3"/>
        <v>138997.125</v>
      </c>
      <c r="M7" s="28">
        <f t="shared" si="3"/>
        <v>138997.125</v>
      </c>
      <c r="N7" s="28">
        <f t="shared" si="3"/>
        <v>138997.125</v>
      </c>
      <c r="O7" s="28">
        <f t="shared" si="3"/>
        <v>138997.125</v>
      </c>
      <c r="P7" s="31">
        <f t="shared" si="2"/>
        <v>1793512</v>
      </c>
      <c r="Q7" s="40">
        <v>1793512</v>
      </c>
      <c r="R7" s="42">
        <f t="shared" ref="R7:R42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31">
        <f t="shared" si="1"/>
        <v>10044979</v>
      </c>
      <c r="H8" s="28">
        <f t="shared" si="3"/>
        <v>-1255622.375</v>
      </c>
      <c r="I8" s="28">
        <f t="shared" si="3"/>
        <v>-1255622.375</v>
      </c>
      <c r="J8" s="28">
        <f t="shared" si="3"/>
        <v>-1255622.375</v>
      </c>
      <c r="K8" s="28">
        <f t="shared" si="3"/>
        <v>-1255622.375</v>
      </c>
      <c r="L8" s="28">
        <f t="shared" si="3"/>
        <v>-1255622.375</v>
      </c>
      <c r="M8" s="28">
        <f t="shared" si="3"/>
        <v>-1255622.375</v>
      </c>
      <c r="N8" s="28">
        <f t="shared" si="3"/>
        <v>-1255622.375</v>
      </c>
      <c r="O8" s="28">
        <f t="shared" si="3"/>
        <v>-1255622.375</v>
      </c>
      <c r="P8" s="31">
        <f t="shared" si="2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31">
        <f t="shared" si="1"/>
        <v>121665</v>
      </c>
      <c r="H9" s="28">
        <f t="shared" si="3"/>
        <v>23541.875</v>
      </c>
      <c r="I9" s="28">
        <f t="shared" si="3"/>
        <v>23541.875</v>
      </c>
      <c r="J9" s="28">
        <f t="shared" si="3"/>
        <v>23541.875</v>
      </c>
      <c r="K9" s="28">
        <f t="shared" si="3"/>
        <v>23541.875</v>
      </c>
      <c r="L9" s="28">
        <f t="shared" si="3"/>
        <v>23541.875</v>
      </c>
      <c r="M9" s="28">
        <f t="shared" si="3"/>
        <v>23541.875</v>
      </c>
      <c r="N9" s="28">
        <f t="shared" si="3"/>
        <v>23541.875</v>
      </c>
      <c r="O9" s="28">
        <f t="shared" si="3"/>
        <v>23541.875</v>
      </c>
      <c r="P9" s="31">
        <f t="shared" si="2"/>
        <v>310000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31">
        <f t="shared" si="1"/>
        <v>0</v>
      </c>
      <c r="H10" s="28">
        <f t="shared" si="3"/>
        <v>43750</v>
      </c>
      <c r="I10" s="28">
        <f t="shared" si="3"/>
        <v>43750</v>
      </c>
      <c r="J10" s="28">
        <f t="shared" si="3"/>
        <v>43750</v>
      </c>
      <c r="K10" s="28">
        <f t="shared" si="3"/>
        <v>43750</v>
      </c>
      <c r="L10" s="28">
        <f t="shared" si="3"/>
        <v>43750</v>
      </c>
      <c r="M10" s="28">
        <f t="shared" si="3"/>
        <v>43750</v>
      </c>
      <c r="N10" s="28">
        <f t="shared" si="3"/>
        <v>43750</v>
      </c>
      <c r="O10" s="28">
        <f t="shared" si="3"/>
        <v>43750</v>
      </c>
      <c r="P10" s="31">
        <f t="shared" si="2"/>
        <v>350000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31">
        <f t="shared" si="1"/>
        <v>52946</v>
      </c>
      <c r="H11" s="28">
        <f t="shared" si="3"/>
        <v>12131.75</v>
      </c>
      <c r="I11" s="28">
        <f t="shared" si="3"/>
        <v>12131.75</v>
      </c>
      <c r="J11" s="28">
        <f t="shared" si="3"/>
        <v>12131.75</v>
      </c>
      <c r="K11" s="28">
        <f t="shared" si="3"/>
        <v>12131.75</v>
      </c>
      <c r="L11" s="28">
        <f t="shared" si="3"/>
        <v>12131.75</v>
      </c>
      <c r="M11" s="28">
        <f t="shared" si="3"/>
        <v>12131.75</v>
      </c>
      <c r="N11" s="28">
        <f t="shared" si="3"/>
        <v>12131.75</v>
      </c>
      <c r="O11" s="28">
        <f t="shared" si="3"/>
        <v>12131.75</v>
      </c>
      <c r="P11" s="31">
        <f t="shared" si="2"/>
        <v>150000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31">
        <f t="shared" si="1"/>
        <v>0</v>
      </c>
      <c r="H12" s="28">
        <f t="shared" si="3"/>
        <v>3250</v>
      </c>
      <c r="I12" s="28">
        <f t="shared" si="3"/>
        <v>3250</v>
      </c>
      <c r="J12" s="28">
        <f t="shared" si="3"/>
        <v>3250</v>
      </c>
      <c r="K12" s="28">
        <f t="shared" si="3"/>
        <v>3250</v>
      </c>
      <c r="L12" s="28">
        <f t="shared" si="3"/>
        <v>3250</v>
      </c>
      <c r="M12" s="28">
        <f t="shared" si="3"/>
        <v>3250</v>
      </c>
      <c r="N12" s="28">
        <f t="shared" si="3"/>
        <v>3250</v>
      </c>
      <c r="O12" s="28">
        <f t="shared" si="3"/>
        <v>3250</v>
      </c>
      <c r="P12" s="31">
        <f t="shared" si="2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31">
        <f t="shared" si="1"/>
        <v>0</v>
      </c>
      <c r="H13" s="28">
        <f t="shared" si="3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8">
        <f t="shared" si="3"/>
        <v>0</v>
      </c>
      <c r="P13" s="31">
        <f t="shared" si="2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31">
        <f t="shared" si="1"/>
        <v>100788.94000000006</v>
      </c>
      <c r="H14" s="28">
        <f t="shared" si="3"/>
        <v>299901.38250000001</v>
      </c>
      <c r="I14" s="28">
        <f t="shared" si="3"/>
        <v>299901.38250000001</v>
      </c>
      <c r="J14" s="28">
        <f t="shared" si="3"/>
        <v>299901.38250000001</v>
      </c>
      <c r="K14" s="28">
        <f t="shared" si="3"/>
        <v>299901.38250000001</v>
      </c>
      <c r="L14" s="28">
        <f t="shared" si="3"/>
        <v>299901.38250000001</v>
      </c>
      <c r="M14" s="28">
        <f t="shared" si="3"/>
        <v>299901.38250000001</v>
      </c>
      <c r="N14" s="28">
        <f t="shared" si="3"/>
        <v>299901.38250000001</v>
      </c>
      <c r="O14" s="28">
        <f t="shared" si="3"/>
        <v>299901.38250000001</v>
      </c>
      <c r="P14" s="31">
        <f t="shared" si="2"/>
        <v>2500000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31">
        <f t="shared" si="1"/>
        <v>0</v>
      </c>
      <c r="H15" s="28">
        <f t="shared" si="3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31">
        <f t="shared" si="2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31">
        <f t="shared" si="1"/>
        <v>0</v>
      </c>
      <c r="H16" s="28">
        <f t="shared" si="3"/>
        <v>56250</v>
      </c>
      <c r="I16" s="28">
        <f t="shared" si="3"/>
        <v>56250</v>
      </c>
      <c r="J16" s="28">
        <f t="shared" si="3"/>
        <v>56250</v>
      </c>
      <c r="K16" s="28">
        <f t="shared" si="3"/>
        <v>56250</v>
      </c>
      <c r="L16" s="28">
        <f t="shared" si="3"/>
        <v>56250</v>
      </c>
      <c r="M16" s="28">
        <f t="shared" si="3"/>
        <v>56250</v>
      </c>
      <c r="N16" s="28">
        <f t="shared" si="3"/>
        <v>56250</v>
      </c>
      <c r="O16" s="28">
        <f t="shared" si="3"/>
        <v>56250</v>
      </c>
      <c r="P16" s="31">
        <f t="shared" si="2"/>
        <v>450000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>SUM(C6:C16)</f>
        <v>4617346</v>
      </c>
      <c r="D17" s="18">
        <f>SUM(D6:D16)</f>
        <v>4617345</v>
      </c>
      <c r="E17" s="18">
        <v>17659330.199999999</v>
      </c>
      <c r="F17" s="18">
        <v>5184138.74</v>
      </c>
      <c r="G17" s="31">
        <f>SUM(G6:G16)</f>
        <v>32078159.940000001</v>
      </c>
      <c r="H17" s="18">
        <f t="shared" ref="H17:O17" si="5">SUM(H6:H16)</f>
        <v>7291156.1325000003</v>
      </c>
      <c r="I17" s="18">
        <f t="shared" si="5"/>
        <v>7291156.1325000003</v>
      </c>
      <c r="J17" s="18">
        <f t="shared" si="5"/>
        <v>7291156.1325000003</v>
      </c>
      <c r="K17" s="18">
        <f t="shared" si="5"/>
        <v>7291156.1325000003</v>
      </c>
      <c r="L17" s="18">
        <f t="shared" si="5"/>
        <v>7291156.1325000003</v>
      </c>
      <c r="M17" s="18">
        <f t="shared" si="5"/>
        <v>7291156.1325000003</v>
      </c>
      <c r="N17" s="18">
        <f t="shared" si="5"/>
        <v>7291156.1325000003</v>
      </c>
      <c r="O17" s="18">
        <f t="shared" si="5"/>
        <v>7291156.1325000003</v>
      </c>
      <c r="P17" s="31">
        <f t="shared" si="2"/>
        <v>90407408.99999994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31">
        <f t="shared" ref="G18:G32" si="6">SUM(C18:F18)</f>
        <v>0</v>
      </c>
      <c r="H18" s="28">
        <f t="shared" ref="H18:O32" si="7">($Q18-$G18)/8</f>
        <v>1750000</v>
      </c>
      <c r="I18" s="28">
        <f t="shared" si="7"/>
        <v>1750000</v>
      </c>
      <c r="J18" s="28">
        <f t="shared" si="7"/>
        <v>1750000</v>
      </c>
      <c r="K18" s="28">
        <f t="shared" si="7"/>
        <v>1750000</v>
      </c>
      <c r="L18" s="28">
        <f t="shared" si="7"/>
        <v>1750000</v>
      </c>
      <c r="M18" s="28">
        <f t="shared" si="7"/>
        <v>1750000</v>
      </c>
      <c r="N18" s="28">
        <f t="shared" si="7"/>
        <v>1750000</v>
      </c>
      <c r="O18" s="28">
        <f t="shared" si="7"/>
        <v>1750000</v>
      </c>
      <c r="P18" s="31">
        <f t="shared" si="2"/>
        <v>14000000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31">
        <f t="shared" si="6"/>
        <v>64158.45</v>
      </c>
      <c r="H19" s="28">
        <f t="shared" si="7"/>
        <v>26980.193749999999</v>
      </c>
      <c r="I19" s="28">
        <f t="shared" si="7"/>
        <v>26980.193749999999</v>
      </c>
      <c r="J19" s="28">
        <f t="shared" si="7"/>
        <v>26980.193749999999</v>
      </c>
      <c r="K19" s="28">
        <f t="shared" si="7"/>
        <v>26980.193749999999</v>
      </c>
      <c r="L19" s="28">
        <f t="shared" si="7"/>
        <v>26980.193749999999</v>
      </c>
      <c r="M19" s="28">
        <f t="shared" si="7"/>
        <v>26980.193749999999</v>
      </c>
      <c r="N19" s="28">
        <f t="shared" si="7"/>
        <v>26980.193749999999</v>
      </c>
      <c r="O19" s="28">
        <f t="shared" si="7"/>
        <v>26980.193749999999</v>
      </c>
      <c r="P19" s="31">
        <f t="shared" si="2"/>
        <v>279999.99999999994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31">
        <f t="shared" si="6"/>
        <v>344880.18</v>
      </c>
      <c r="H20" s="28">
        <f t="shared" si="7"/>
        <v>-15610.022499999999</v>
      </c>
      <c r="I20" s="28">
        <f t="shared" si="7"/>
        <v>-15610.022499999999</v>
      </c>
      <c r="J20" s="28">
        <f t="shared" si="7"/>
        <v>-15610.022499999999</v>
      </c>
      <c r="K20" s="28">
        <f t="shared" si="7"/>
        <v>-15610.022499999999</v>
      </c>
      <c r="L20" s="28">
        <f t="shared" si="7"/>
        <v>-15610.022499999999</v>
      </c>
      <c r="M20" s="28">
        <f t="shared" si="7"/>
        <v>-15610.022499999999</v>
      </c>
      <c r="N20" s="28">
        <f t="shared" si="7"/>
        <v>-15610.022499999999</v>
      </c>
      <c r="O20" s="28">
        <f t="shared" si="7"/>
        <v>-15610.022499999999</v>
      </c>
      <c r="P20" s="31">
        <f t="shared" si="2"/>
        <v>220000.00000000029</v>
      </c>
      <c r="Q20" s="40">
        <v>220000</v>
      </c>
      <c r="R20" s="42">
        <f t="shared" si="4"/>
        <v>2.9103830456733704E-10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31">
        <f t="shared" si="6"/>
        <v>303276.06</v>
      </c>
      <c r="H21" s="28">
        <f t="shared" si="7"/>
        <v>-12909.5075</v>
      </c>
      <c r="I21" s="28">
        <f t="shared" si="7"/>
        <v>-12909.5075</v>
      </c>
      <c r="J21" s="28">
        <f t="shared" si="7"/>
        <v>-12909.5075</v>
      </c>
      <c r="K21" s="28">
        <f t="shared" si="7"/>
        <v>-12909.5075</v>
      </c>
      <c r="L21" s="28">
        <f t="shared" si="7"/>
        <v>-12909.5075</v>
      </c>
      <c r="M21" s="28">
        <f t="shared" si="7"/>
        <v>-12909.5075</v>
      </c>
      <c r="N21" s="28">
        <f t="shared" si="7"/>
        <v>-12909.5075</v>
      </c>
      <c r="O21" s="28">
        <f t="shared" si="7"/>
        <v>-12909.5075</v>
      </c>
      <c r="P21" s="31">
        <f t="shared" si="2"/>
        <v>200000.00000000029</v>
      </c>
      <c r="Q21" s="40">
        <v>200000</v>
      </c>
      <c r="R21" s="42">
        <f t="shared" si="4"/>
        <v>2.9103830456733704E-10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31">
        <f t="shared" si="6"/>
        <v>76617.55</v>
      </c>
      <c r="H22" s="28">
        <f t="shared" si="7"/>
        <v>1052922.8062499999</v>
      </c>
      <c r="I22" s="28">
        <f t="shared" si="7"/>
        <v>1052922.8062499999</v>
      </c>
      <c r="J22" s="28">
        <f t="shared" si="7"/>
        <v>1052922.8062499999</v>
      </c>
      <c r="K22" s="28">
        <f t="shared" si="7"/>
        <v>1052922.8062499999</v>
      </c>
      <c r="L22" s="28">
        <f t="shared" si="7"/>
        <v>1052922.8062499999</v>
      </c>
      <c r="M22" s="28">
        <f t="shared" si="7"/>
        <v>1052922.8062499999</v>
      </c>
      <c r="N22" s="28">
        <f t="shared" si="7"/>
        <v>1052922.8062499999</v>
      </c>
      <c r="O22" s="28">
        <f t="shared" si="7"/>
        <v>1052922.8062499999</v>
      </c>
      <c r="P22" s="31">
        <f t="shared" si="2"/>
        <v>8500000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31">
        <f t="shared" si="6"/>
        <v>0</v>
      </c>
      <c r="H23" s="28">
        <f t="shared" si="7"/>
        <v>233837</v>
      </c>
      <c r="I23" s="28">
        <f t="shared" si="7"/>
        <v>233837</v>
      </c>
      <c r="J23" s="28">
        <f t="shared" si="7"/>
        <v>233837</v>
      </c>
      <c r="K23" s="28">
        <f t="shared" si="7"/>
        <v>233837</v>
      </c>
      <c r="L23" s="28">
        <f t="shared" si="7"/>
        <v>233837</v>
      </c>
      <c r="M23" s="28">
        <f t="shared" si="7"/>
        <v>233837</v>
      </c>
      <c r="N23" s="28">
        <f t="shared" si="7"/>
        <v>233837</v>
      </c>
      <c r="O23" s="28">
        <f t="shared" si="7"/>
        <v>233837</v>
      </c>
      <c r="P23" s="31">
        <f t="shared" si="2"/>
        <v>1870696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31">
        <f t="shared" si="6"/>
        <v>15</v>
      </c>
      <c r="H24" s="28">
        <f t="shared" si="7"/>
        <v>-1.875</v>
      </c>
      <c r="I24" s="28">
        <f t="shared" si="7"/>
        <v>-1.875</v>
      </c>
      <c r="J24" s="28">
        <f t="shared" si="7"/>
        <v>-1.875</v>
      </c>
      <c r="K24" s="28">
        <f t="shared" si="7"/>
        <v>-1.875</v>
      </c>
      <c r="L24" s="28">
        <f t="shared" si="7"/>
        <v>-1.875</v>
      </c>
      <c r="M24" s="28">
        <f t="shared" si="7"/>
        <v>-1.875</v>
      </c>
      <c r="N24" s="28">
        <f t="shared" si="7"/>
        <v>-1.875</v>
      </c>
      <c r="O24" s="28">
        <f t="shared" si="7"/>
        <v>-1.875</v>
      </c>
      <c r="P24" s="31">
        <f t="shared" si="2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31">
        <f t="shared" si="6"/>
        <v>9939.7999999999993</v>
      </c>
      <c r="H25" s="28">
        <f t="shared" si="7"/>
        <v>1257.5250000000005</v>
      </c>
      <c r="I25" s="28">
        <f t="shared" si="7"/>
        <v>1257.5250000000005</v>
      </c>
      <c r="J25" s="28">
        <f t="shared" si="7"/>
        <v>1257.5250000000005</v>
      </c>
      <c r="K25" s="28">
        <f t="shared" si="7"/>
        <v>1257.5250000000005</v>
      </c>
      <c r="L25" s="28">
        <f t="shared" si="7"/>
        <v>1257.5250000000005</v>
      </c>
      <c r="M25" s="28">
        <f t="shared" si="7"/>
        <v>1257.5250000000005</v>
      </c>
      <c r="N25" s="28">
        <f t="shared" si="7"/>
        <v>1257.5250000000005</v>
      </c>
      <c r="O25" s="28">
        <f t="shared" si="7"/>
        <v>1257.5250000000005</v>
      </c>
      <c r="P25" s="31">
        <f t="shared" si="2"/>
        <v>20000.000000000011</v>
      </c>
      <c r="Q25" s="40">
        <v>20000.000000000004</v>
      </c>
      <c r="R25" s="42">
        <f t="shared" si="4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31">
        <f t="shared" si="6"/>
        <v>26221.969999999987</v>
      </c>
      <c r="H26" s="28">
        <f t="shared" si="7"/>
        <v>9222.2537500000017</v>
      </c>
      <c r="I26" s="28">
        <f t="shared" si="7"/>
        <v>9222.2537500000017</v>
      </c>
      <c r="J26" s="28">
        <f t="shared" si="7"/>
        <v>9222.2537500000017</v>
      </c>
      <c r="K26" s="28">
        <f t="shared" si="7"/>
        <v>9222.2537500000017</v>
      </c>
      <c r="L26" s="28">
        <f t="shared" si="7"/>
        <v>9222.2537500000017</v>
      </c>
      <c r="M26" s="28">
        <f t="shared" si="7"/>
        <v>9222.2537500000017</v>
      </c>
      <c r="N26" s="28">
        <f t="shared" si="7"/>
        <v>9222.2537500000017</v>
      </c>
      <c r="O26" s="28">
        <f t="shared" si="7"/>
        <v>9222.2537500000017</v>
      </c>
      <c r="P26" s="31">
        <f t="shared" si="2"/>
        <v>100000.00000000001</v>
      </c>
      <c r="Q26" s="40">
        <v>100000</v>
      </c>
      <c r="R26" s="42">
        <f t="shared" si="4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31">
        <f t="shared" si="6"/>
        <v>0</v>
      </c>
      <c r="H27" s="28">
        <f t="shared" si="7"/>
        <v>15625</v>
      </c>
      <c r="I27" s="28">
        <f t="shared" si="7"/>
        <v>15625</v>
      </c>
      <c r="J27" s="28">
        <f t="shared" si="7"/>
        <v>15625</v>
      </c>
      <c r="K27" s="28">
        <f t="shared" si="7"/>
        <v>15625</v>
      </c>
      <c r="L27" s="28">
        <f t="shared" si="7"/>
        <v>15625</v>
      </c>
      <c r="M27" s="28">
        <f t="shared" si="7"/>
        <v>15625</v>
      </c>
      <c r="N27" s="28">
        <f t="shared" si="7"/>
        <v>15625</v>
      </c>
      <c r="O27" s="28">
        <f t="shared" si="7"/>
        <v>15625</v>
      </c>
      <c r="P27" s="31">
        <f t="shared" si="2"/>
        <v>125000</v>
      </c>
      <c r="Q27" s="40">
        <v>125000</v>
      </c>
      <c r="R27" s="42">
        <f t="shared" si="4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31">
        <f t="shared" si="6"/>
        <v>1042805</v>
      </c>
      <c r="H28" s="28">
        <f t="shared" si="7"/>
        <v>119649.375</v>
      </c>
      <c r="I28" s="28">
        <f t="shared" si="7"/>
        <v>119649.375</v>
      </c>
      <c r="J28" s="28">
        <f t="shared" si="7"/>
        <v>119649.375</v>
      </c>
      <c r="K28" s="28">
        <f t="shared" si="7"/>
        <v>119649.375</v>
      </c>
      <c r="L28" s="28">
        <f t="shared" si="7"/>
        <v>119649.375</v>
      </c>
      <c r="M28" s="28">
        <f t="shared" si="7"/>
        <v>119649.375</v>
      </c>
      <c r="N28" s="28">
        <f t="shared" si="7"/>
        <v>119649.375</v>
      </c>
      <c r="O28" s="28">
        <f t="shared" si="7"/>
        <v>119649.375</v>
      </c>
      <c r="P28" s="31">
        <f t="shared" si="2"/>
        <v>2000000</v>
      </c>
      <c r="Q28" s="40">
        <v>2000000</v>
      </c>
      <c r="R28" s="42">
        <f t="shared" si="4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31">
        <f t="shared" si="6"/>
        <v>2940</v>
      </c>
      <c r="H29" s="28">
        <f t="shared" si="7"/>
        <v>882.5</v>
      </c>
      <c r="I29" s="28">
        <f t="shared" si="7"/>
        <v>882.5</v>
      </c>
      <c r="J29" s="28">
        <f t="shared" si="7"/>
        <v>882.5</v>
      </c>
      <c r="K29" s="28">
        <f t="shared" si="7"/>
        <v>882.5</v>
      </c>
      <c r="L29" s="28">
        <f t="shared" si="7"/>
        <v>882.5</v>
      </c>
      <c r="M29" s="28">
        <f t="shared" si="7"/>
        <v>882.5</v>
      </c>
      <c r="N29" s="28">
        <f t="shared" si="7"/>
        <v>882.5</v>
      </c>
      <c r="O29" s="28">
        <f t="shared" si="7"/>
        <v>882.5</v>
      </c>
      <c r="P29" s="31">
        <f t="shared" si="2"/>
        <v>10000</v>
      </c>
      <c r="Q29" s="40">
        <v>10000</v>
      </c>
      <c r="R29" s="42">
        <f t="shared" si="4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31">
        <f t="shared" si="6"/>
        <v>46463.199999999997</v>
      </c>
      <c r="H30" s="28">
        <f t="shared" si="7"/>
        <v>12942.1</v>
      </c>
      <c r="I30" s="28">
        <f t="shared" si="7"/>
        <v>12942.1</v>
      </c>
      <c r="J30" s="28">
        <f t="shared" si="7"/>
        <v>12942.1</v>
      </c>
      <c r="K30" s="28">
        <f t="shared" si="7"/>
        <v>12942.1</v>
      </c>
      <c r="L30" s="28">
        <f t="shared" si="7"/>
        <v>12942.1</v>
      </c>
      <c r="M30" s="28">
        <f t="shared" si="7"/>
        <v>12942.1</v>
      </c>
      <c r="N30" s="28">
        <f t="shared" si="7"/>
        <v>12942.1</v>
      </c>
      <c r="O30" s="28">
        <f t="shared" si="7"/>
        <v>12942.1</v>
      </c>
      <c r="P30" s="31">
        <f t="shared" si="2"/>
        <v>150000.00000000006</v>
      </c>
      <c r="Q30" s="40">
        <v>150000</v>
      </c>
      <c r="R30" s="42">
        <f t="shared" si="4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31">
        <f t="shared" si="6"/>
        <v>1901031.5</v>
      </c>
      <c r="H31" s="28">
        <f t="shared" si="7"/>
        <v>250046.5625</v>
      </c>
      <c r="I31" s="28">
        <f t="shared" si="7"/>
        <v>250046.5625</v>
      </c>
      <c r="J31" s="28">
        <f t="shared" si="7"/>
        <v>250046.5625</v>
      </c>
      <c r="K31" s="28">
        <f t="shared" si="7"/>
        <v>250046.5625</v>
      </c>
      <c r="L31" s="28">
        <f t="shared" si="7"/>
        <v>250046.5625</v>
      </c>
      <c r="M31" s="28">
        <f t="shared" si="7"/>
        <v>250046.5625</v>
      </c>
      <c r="N31" s="28">
        <f t="shared" si="7"/>
        <v>250046.5625</v>
      </c>
      <c r="O31" s="28">
        <f t="shared" si="7"/>
        <v>250046.5625</v>
      </c>
      <c r="P31" s="31">
        <f t="shared" si="2"/>
        <v>3901404</v>
      </c>
      <c r="Q31" s="40">
        <v>3901404</v>
      </c>
      <c r="R31" s="42">
        <f t="shared" si="4"/>
        <v>0</v>
      </c>
    </row>
    <row r="32" spans="1:18" s="1" customFormat="1" ht="19.7" customHeight="1" x14ac:dyDescent="0.2">
      <c r="A32" s="23" t="s">
        <v>113</v>
      </c>
      <c r="B32" s="24" t="s">
        <v>114</v>
      </c>
      <c r="C32" s="28">
        <v>-1133.3800000000001</v>
      </c>
      <c r="D32" s="28">
        <v>15004.17</v>
      </c>
      <c r="E32" s="28">
        <v>11170.73</v>
      </c>
      <c r="F32" s="28">
        <v>8823.7799999999988</v>
      </c>
      <c r="G32" s="31">
        <f t="shared" si="6"/>
        <v>33865.300000000003</v>
      </c>
      <c r="H32" s="28">
        <f t="shared" si="7"/>
        <v>12016.8375</v>
      </c>
      <c r="I32" s="28">
        <f t="shared" si="7"/>
        <v>12016.8375</v>
      </c>
      <c r="J32" s="28">
        <f t="shared" si="7"/>
        <v>12016.8375</v>
      </c>
      <c r="K32" s="28">
        <f t="shared" si="7"/>
        <v>12016.8375</v>
      </c>
      <c r="L32" s="28">
        <f t="shared" si="7"/>
        <v>12016.8375</v>
      </c>
      <c r="M32" s="28">
        <f t="shared" si="7"/>
        <v>12016.8375</v>
      </c>
      <c r="N32" s="28">
        <f t="shared" si="7"/>
        <v>12016.8375</v>
      </c>
      <c r="O32" s="28">
        <f t="shared" si="7"/>
        <v>12016.8375</v>
      </c>
      <c r="P32" s="31">
        <f t="shared" si="2"/>
        <v>129999.99999999996</v>
      </c>
      <c r="Q32" s="40">
        <v>130000</v>
      </c>
      <c r="R32" s="42">
        <f t="shared" si="4"/>
        <v>0</v>
      </c>
    </row>
    <row r="33" spans="1:18" s="1" customFormat="1" ht="19.7" customHeight="1" x14ac:dyDescent="0.2">
      <c r="A33" s="7" t="s">
        <v>23</v>
      </c>
      <c r="B33" s="7" t="s">
        <v>24</v>
      </c>
      <c r="C33" s="18">
        <f>SUM(C18:C32)</f>
        <v>424767.23</v>
      </c>
      <c r="D33" s="18">
        <f>SUM(D18:D32)</f>
        <v>3103537.6500000004</v>
      </c>
      <c r="E33" s="18">
        <v>60252.72</v>
      </c>
      <c r="F33" s="18">
        <v>263656.40999999997</v>
      </c>
      <c r="G33" s="31">
        <f>SUM(G18:G32)</f>
        <v>3852214.01</v>
      </c>
      <c r="H33" s="18">
        <f t="shared" ref="H33:N33" si="8">SUM(H18:H32)</f>
        <v>3456860.7487499998</v>
      </c>
      <c r="I33" s="18">
        <f t="shared" si="8"/>
        <v>3456860.7487499998</v>
      </c>
      <c r="J33" s="18">
        <f t="shared" si="8"/>
        <v>3456860.7487499998</v>
      </c>
      <c r="K33" s="18">
        <f t="shared" si="8"/>
        <v>3456860.7487499998</v>
      </c>
      <c r="L33" s="18">
        <f t="shared" si="8"/>
        <v>3456860.7487499998</v>
      </c>
      <c r="M33" s="18">
        <f t="shared" si="8"/>
        <v>3456860.7487499998</v>
      </c>
      <c r="N33" s="18">
        <f t="shared" si="8"/>
        <v>3456860.7487499998</v>
      </c>
      <c r="O33" s="18">
        <f>SUM(O18:O32)</f>
        <v>3456860.7487499998</v>
      </c>
      <c r="P33" s="31">
        <f t="shared" si="2"/>
        <v>31507100.000000007</v>
      </c>
      <c r="Q33" s="40"/>
      <c r="R33" s="42"/>
    </row>
    <row r="34" spans="1:18" s="1" customFormat="1" ht="19.7" customHeight="1" thickBot="1" x14ac:dyDescent="0.25">
      <c r="A34" s="8" t="s">
        <v>25</v>
      </c>
      <c r="B34" s="9"/>
      <c r="C34" s="19">
        <f>C33+C17+C5</f>
        <v>5042113.2300000004</v>
      </c>
      <c r="D34" s="19">
        <f>D33+D17+D5</f>
        <v>7720882.6500000004</v>
      </c>
      <c r="E34" s="19">
        <f>E33+E17+E5</f>
        <v>17927145.919999998</v>
      </c>
      <c r="F34" s="19">
        <f t="shared" ref="F34" si="9">F33+F17+F5</f>
        <v>5240232.1500000004</v>
      </c>
      <c r="G34" s="31">
        <f>SUM(C34:F34)</f>
        <v>35930373.949999996</v>
      </c>
      <c r="H34" s="19">
        <f t="shared" ref="H34:O34" si="10">H33+H17+H5</f>
        <v>10748016.88125</v>
      </c>
      <c r="I34" s="19">
        <f t="shared" si="10"/>
        <v>10748016.88125</v>
      </c>
      <c r="J34" s="19">
        <f t="shared" si="10"/>
        <v>10748016.88125</v>
      </c>
      <c r="K34" s="19">
        <f t="shared" si="10"/>
        <v>10748016.88125</v>
      </c>
      <c r="L34" s="19">
        <f t="shared" si="10"/>
        <v>10748016.88125</v>
      </c>
      <c r="M34" s="19">
        <f t="shared" si="10"/>
        <v>10748016.88125</v>
      </c>
      <c r="N34" s="19">
        <f t="shared" si="10"/>
        <v>10748016.88125</v>
      </c>
      <c r="O34" s="19">
        <f t="shared" si="10"/>
        <v>10748016.88125</v>
      </c>
      <c r="P34" s="32">
        <f>P33+P17+P5</f>
        <v>121914508.99999994</v>
      </c>
      <c r="Q34" s="41"/>
      <c r="R34" s="42"/>
    </row>
    <row r="35" spans="1:18" s="1" customFormat="1" ht="12.2" customHeight="1" x14ac:dyDescent="0.2">
      <c r="A35" s="10"/>
      <c r="B35" s="6"/>
      <c r="C35" s="17"/>
      <c r="D35" s="17"/>
      <c r="E35" s="17"/>
      <c r="F35" s="17"/>
      <c r="G35" s="30"/>
      <c r="H35" s="17"/>
      <c r="I35" s="17"/>
      <c r="J35" s="17"/>
      <c r="K35" s="17"/>
      <c r="L35" s="17"/>
      <c r="M35" s="17"/>
      <c r="N35" s="17"/>
      <c r="O35" s="17"/>
      <c r="P35" s="30"/>
      <c r="R35" s="42">
        <f t="shared" si="4"/>
        <v>0</v>
      </c>
    </row>
    <row r="36" spans="1:18" s="1" customFormat="1" ht="19.7" customHeight="1" x14ac:dyDescent="0.2">
      <c r="A36" s="7" t="s">
        <v>26</v>
      </c>
      <c r="B36" s="7" t="s">
        <v>27</v>
      </c>
      <c r="C36" s="18">
        <v>190078.02</v>
      </c>
      <c r="D36" s="18">
        <v>2252338.33</v>
      </c>
      <c r="E36" s="18">
        <v>1598857.26</v>
      </c>
      <c r="F36" s="18">
        <v>4341634.93</v>
      </c>
      <c r="G36" s="31">
        <f t="shared" ref="G36:G43" si="11">SUM(C36:F36)</f>
        <v>8382908.54</v>
      </c>
      <c r="H36" s="18">
        <f t="shared" ref="H36:N41" si="12">($Q36-$G36)/9</f>
        <v>4383706.2733333334</v>
      </c>
      <c r="I36" s="18">
        <f t="shared" si="12"/>
        <v>4383706.2733333334</v>
      </c>
      <c r="J36" s="18">
        <f t="shared" si="12"/>
        <v>4383706.2733333334</v>
      </c>
      <c r="K36" s="18">
        <f t="shared" si="12"/>
        <v>4383706.2733333334</v>
      </c>
      <c r="L36" s="18">
        <f t="shared" si="12"/>
        <v>4383706.2733333334</v>
      </c>
      <c r="M36" s="18">
        <f t="shared" si="12"/>
        <v>4383706.2733333334</v>
      </c>
      <c r="N36" s="18">
        <f t="shared" si="12"/>
        <v>4383706.2733333334</v>
      </c>
      <c r="O36" s="18">
        <f t="shared" ref="O36:O41" si="13">($Q36-$G36)/9*2</f>
        <v>8767412.5466666669</v>
      </c>
      <c r="P36" s="31">
        <f t="shared" ref="P36:P42" si="14">SUM(C36:O36)-G36</f>
        <v>47836265</v>
      </c>
      <c r="Q36" s="40">
        <v>47836265</v>
      </c>
      <c r="R36" s="42">
        <f t="shared" si="4"/>
        <v>0</v>
      </c>
    </row>
    <row r="37" spans="1:18" s="1" customFormat="1" ht="19.7" customHeight="1" x14ac:dyDescent="0.2">
      <c r="A37" s="7" t="s">
        <v>28</v>
      </c>
      <c r="B37" s="7" t="s">
        <v>29</v>
      </c>
      <c r="C37" s="18">
        <v>471707.08</v>
      </c>
      <c r="D37" s="18">
        <v>1866672.2</v>
      </c>
      <c r="E37" s="18">
        <v>1739553.14</v>
      </c>
      <c r="F37" s="18">
        <v>1843221.89</v>
      </c>
      <c r="G37" s="31">
        <f t="shared" si="11"/>
        <v>5921154.3099999996</v>
      </c>
      <c r="H37" s="18">
        <f t="shared" si="12"/>
        <v>1982202.7433333334</v>
      </c>
      <c r="I37" s="18">
        <f t="shared" si="12"/>
        <v>1982202.7433333334</v>
      </c>
      <c r="J37" s="18">
        <f t="shared" si="12"/>
        <v>1982202.7433333334</v>
      </c>
      <c r="K37" s="18">
        <f t="shared" si="12"/>
        <v>1982202.7433333334</v>
      </c>
      <c r="L37" s="18">
        <f t="shared" si="12"/>
        <v>1982202.7433333334</v>
      </c>
      <c r="M37" s="18">
        <f t="shared" si="12"/>
        <v>1982202.7433333334</v>
      </c>
      <c r="N37" s="18">
        <f t="shared" si="12"/>
        <v>1982202.7433333334</v>
      </c>
      <c r="O37" s="18">
        <f t="shared" si="13"/>
        <v>3964405.4866666668</v>
      </c>
      <c r="P37" s="31">
        <f t="shared" si="14"/>
        <v>23760979</v>
      </c>
      <c r="Q37" s="40">
        <v>23760979</v>
      </c>
      <c r="R37" s="42">
        <f t="shared" si="4"/>
        <v>0</v>
      </c>
    </row>
    <row r="38" spans="1:18" s="1" customFormat="1" ht="19.7" customHeight="1" x14ac:dyDescent="0.2">
      <c r="A38" s="7" t="s">
        <v>30</v>
      </c>
      <c r="B38" s="7" t="s">
        <v>31</v>
      </c>
      <c r="C38" s="18">
        <v>309786.59000000003</v>
      </c>
      <c r="D38" s="18">
        <v>1090937.5900000001</v>
      </c>
      <c r="E38" s="18">
        <v>933433.22000000195</v>
      </c>
      <c r="F38" s="18">
        <v>2566584.5199999898</v>
      </c>
      <c r="G38" s="31">
        <f t="shared" si="11"/>
        <v>4900741.9199999925</v>
      </c>
      <c r="H38" s="18">
        <f t="shared" si="12"/>
        <v>3030110.6755555561</v>
      </c>
      <c r="I38" s="18">
        <f t="shared" si="12"/>
        <v>3030110.6755555561</v>
      </c>
      <c r="J38" s="18">
        <f t="shared" si="12"/>
        <v>3030110.6755555561</v>
      </c>
      <c r="K38" s="18">
        <f t="shared" si="12"/>
        <v>3030110.6755555561</v>
      </c>
      <c r="L38" s="18">
        <f t="shared" si="12"/>
        <v>3030110.6755555561</v>
      </c>
      <c r="M38" s="18">
        <f t="shared" si="12"/>
        <v>3030110.6755555561</v>
      </c>
      <c r="N38" s="18">
        <f t="shared" si="12"/>
        <v>3030110.6755555561</v>
      </c>
      <c r="O38" s="18">
        <f t="shared" si="13"/>
        <v>6060221.3511111122</v>
      </c>
      <c r="P38" s="31">
        <f t="shared" si="14"/>
        <v>32171738</v>
      </c>
      <c r="Q38" s="40">
        <v>32171738</v>
      </c>
      <c r="R38" s="42">
        <f t="shared" si="4"/>
        <v>0</v>
      </c>
    </row>
    <row r="39" spans="1:18" s="1" customFormat="1" ht="19.7" customHeight="1" x14ac:dyDescent="0.2">
      <c r="A39" s="7" t="s">
        <v>32</v>
      </c>
      <c r="B39" s="7" t="s">
        <v>33</v>
      </c>
      <c r="C39" s="18">
        <v>739.020000000001</v>
      </c>
      <c r="D39" s="18">
        <v>42622.5</v>
      </c>
      <c r="E39" s="18">
        <v>37010.5</v>
      </c>
      <c r="F39" s="18">
        <v>39108.71</v>
      </c>
      <c r="G39" s="31">
        <f t="shared" si="11"/>
        <v>119480.73000000001</v>
      </c>
      <c r="H39" s="18">
        <f t="shared" si="12"/>
        <v>32770.252222222225</v>
      </c>
      <c r="I39" s="18">
        <f t="shared" si="12"/>
        <v>32770.252222222225</v>
      </c>
      <c r="J39" s="18">
        <f t="shared" si="12"/>
        <v>32770.252222222225</v>
      </c>
      <c r="K39" s="18">
        <f t="shared" si="12"/>
        <v>32770.252222222225</v>
      </c>
      <c r="L39" s="18">
        <f t="shared" si="12"/>
        <v>32770.252222222225</v>
      </c>
      <c r="M39" s="18">
        <f t="shared" si="12"/>
        <v>32770.252222222225</v>
      </c>
      <c r="N39" s="18">
        <f t="shared" si="12"/>
        <v>32770.252222222225</v>
      </c>
      <c r="O39" s="18">
        <f t="shared" si="13"/>
        <v>65540.50444444445</v>
      </c>
      <c r="P39" s="31">
        <f t="shared" si="14"/>
        <v>414413</v>
      </c>
      <c r="Q39" s="40">
        <v>414413</v>
      </c>
      <c r="R39" s="42">
        <f t="shared" si="4"/>
        <v>0</v>
      </c>
    </row>
    <row r="40" spans="1:18" s="1" customFormat="1" ht="19.7" customHeight="1" x14ac:dyDescent="0.2">
      <c r="A40" s="7" t="s">
        <v>34</v>
      </c>
      <c r="B40" s="7" t="s">
        <v>35</v>
      </c>
      <c r="C40" s="18">
        <v>388197.01</v>
      </c>
      <c r="D40" s="18">
        <v>809215.61</v>
      </c>
      <c r="E40" s="18">
        <v>635019.21</v>
      </c>
      <c r="F40" s="18">
        <v>844206.29</v>
      </c>
      <c r="G40" s="31">
        <f t="shared" si="11"/>
        <v>2676638.12</v>
      </c>
      <c r="H40" s="18">
        <f t="shared" si="12"/>
        <v>1073611.4311111111</v>
      </c>
      <c r="I40" s="18">
        <f t="shared" si="12"/>
        <v>1073611.4311111111</v>
      </c>
      <c r="J40" s="18">
        <f t="shared" si="12"/>
        <v>1073611.4311111111</v>
      </c>
      <c r="K40" s="18">
        <f t="shared" si="12"/>
        <v>1073611.4311111111</v>
      </c>
      <c r="L40" s="18">
        <f t="shared" si="12"/>
        <v>1073611.4311111111</v>
      </c>
      <c r="M40" s="18">
        <f t="shared" si="12"/>
        <v>1073611.4311111111</v>
      </c>
      <c r="N40" s="18">
        <f t="shared" si="12"/>
        <v>1073611.4311111111</v>
      </c>
      <c r="O40" s="18">
        <f t="shared" si="13"/>
        <v>2147222.8622222221</v>
      </c>
      <c r="P40" s="31">
        <f t="shared" si="14"/>
        <v>12339140.999999996</v>
      </c>
      <c r="Q40" s="40">
        <v>12339141</v>
      </c>
      <c r="R40" s="42">
        <f t="shared" si="4"/>
        <v>0</v>
      </c>
    </row>
    <row r="41" spans="1:18" s="1" customFormat="1" ht="19.7" customHeight="1" x14ac:dyDescent="0.2">
      <c r="A41" s="7" t="s">
        <v>36</v>
      </c>
      <c r="B41" s="7" t="s">
        <v>37</v>
      </c>
      <c r="C41" s="18">
        <v>2461.16</v>
      </c>
      <c r="D41" s="18">
        <v>25518.45</v>
      </c>
      <c r="E41" s="18">
        <v>-80275.7</v>
      </c>
      <c r="F41" s="18">
        <v>26864.44</v>
      </c>
      <c r="G41" s="31">
        <f t="shared" si="11"/>
        <v>-25431.649999999998</v>
      </c>
      <c r="H41" s="18">
        <f t="shared" si="12"/>
        <v>39264.62777777778</v>
      </c>
      <c r="I41" s="18">
        <f t="shared" si="12"/>
        <v>39264.62777777778</v>
      </c>
      <c r="J41" s="18">
        <f t="shared" si="12"/>
        <v>39264.62777777778</v>
      </c>
      <c r="K41" s="18">
        <f t="shared" si="12"/>
        <v>39264.62777777778</v>
      </c>
      <c r="L41" s="18">
        <f t="shared" si="12"/>
        <v>39264.62777777778</v>
      </c>
      <c r="M41" s="18">
        <f t="shared" si="12"/>
        <v>39264.62777777778</v>
      </c>
      <c r="N41" s="18">
        <f t="shared" si="12"/>
        <v>39264.62777777778</v>
      </c>
      <c r="O41" s="18">
        <f t="shared" si="13"/>
        <v>78529.255555555559</v>
      </c>
      <c r="P41" s="31">
        <f t="shared" si="14"/>
        <v>327950.00000000006</v>
      </c>
      <c r="Q41" s="40">
        <v>327950</v>
      </c>
      <c r="R41" s="42">
        <f t="shared" si="4"/>
        <v>0</v>
      </c>
    </row>
    <row r="42" spans="1:18" s="1" customFormat="1" ht="19.7" customHeight="1" x14ac:dyDescent="0.2">
      <c r="A42" s="7" t="s">
        <v>38</v>
      </c>
      <c r="B42" s="7" t="s">
        <v>39</v>
      </c>
      <c r="C42" s="18">
        <v>6859.5</v>
      </c>
      <c r="D42" s="18">
        <v>-6859.49999999999</v>
      </c>
      <c r="E42" s="18">
        <v>264108.11</v>
      </c>
      <c r="F42" s="18">
        <v>309606.15999999997</v>
      </c>
      <c r="G42" s="31">
        <f t="shared" si="11"/>
        <v>573714.27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31">
        <f t="shared" si="14"/>
        <v>573714.27</v>
      </c>
      <c r="Q42" s="40">
        <v>0</v>
      </c>
      <c r="R42" s="42">
        <f t="shared" si="4"/>
        <v>573714.27</v>
      </c>
    </row>
    <row r="43" spans="1:18" s="1" customFormat="1" ht="19.7" customHeight="1" thickBot="1" x14ac:dyDescent="0.25">
      <c r="A43" s="8" t="s">
        <v>40</v>
      </c>
      <c r="B43" s="11"/>
      <c r="C43" s="19">
        <f>SUM(C36:C42)</f>
        <v>1369828.38</v>
      </c>
      <c r="D43" s="19">
        <f>SUM(D36:D42)</f>
        <v>6080445.1800000006</v>
      </c>
      <c r="E43" s="19">
        <f>SUM(E36:E42)</f>
        <v>5127705.7400000021</v>
      </c>
      <c r="F43" s="19">
        <f>SUM(F36:F42)</f>
        <v>9971226.9399999883</v>
      </c>
      <c r="G43" s="31">
        <f t="shared" si="11"/>
        <v>22549206.239999991</v>
      </c>
      <c r="H43" s="19">
        <f t="shared" ref="H43:O43" si="15">SUM(H36:H42)</f>
        <v>10541666.003333332</v>
      </c>
      <c r="I43" s="19">
        <f t="shared" si="15"/>
        <v>10541666.003333332</v>
      </c>
      <c r="J43" s="19">
        <f t="shared" si="15"/>
        <v>10541666.003333332</v>
      </c>
      <c r="K43" s="19">
        <f t="shared" si="15"/>
        <v>10541666.003333332</v>
      </c>
      <c r="L43" s="19">
        <f t="shared" si="15"/>
        <v>10541666.003333332</v>
      </c>
      <c r="M43" s="19">
        <f t="shared" si="15"/>
        <v>10541666.003333332</v>
      </c>
      <c r="N43" s="19">
        <f t="shared" si="15"/>
        <v>10541666.003333332</v>
      </c>
      <c r="O43" s="19">
        <f t="shared" si="15"/>
        <v>21083332.006666664</v>
      </c>
      <c r="P43" s="32">
        <f>SUM(P36:P42)</f>
        <v>117424200.27</v>
      </c>
    </row>
    <row r="44" spans="1:18" s="1" customFormat="1" ht="18.2" customHeight="1" x14ac:dyDescent="0.2">
      <c r="A44" s="6"/>
      <c r="B44" s="6"/>
      <c r="C44" s="17"/>
      <c r="D44" s="17"/>
      <c r="E44" s="17"/>
      <c r="F44" s="17"/>
      <c r="G44" s="30"/>
      <c r="H44" s="17"/>
      <c r="I44" s="17"/>
      <c r="J44" s="17"/>
      <c r="K44" s="17"/>
      <c r="L44" s="17"/>
      <c r="M44" s="17"/>
      <c r="N44" s="17"/>
      <c r="O44" s="17"/>
      <c r="P44" s="30"/>
    </row>
    <row r="45" spans="1:18" s="1" customFormat="1" ht="19.7" customHeight="1" x14ac:dyDescent="0.2">
      <c r="A45" s="3" t="s">
        <v>41</v>
      </c>
      <c r="B45" s="5"/>
      <c r="C45" s="16">
        <f t="shared" ref="C45:O45" si="16">C34-C43</f>
        <v>3672284.8500000006</v>
      </c>
      <c r="D45" s="16">
        <f t="shared" si="16"/>
        <v>1640437.4699999997</v>
      </c>
      <c r="E45" s="16">
        <f>E34-E43</f>
        <v>12799440.179999996</v>
      </c>
      <c r="F45" s="16">
        <f>F34-F43</f>
        <v>-4730994.7899999879</v>
      </c>
      <c r="G45" s="33">
        <f>G34-G43</f>
        <v>13381167.710000005</v>
      </c>
      <c r="H45" s="16">
        <f t="shared" si="16"/>
        <v>206350.87791666761</v>
      </c>
      <c r="I45" s="16">
        <f t="shared" si="16"/>
        <v>206350.87791666761</v>
      </c>
      <c r="J45" s="16">
        <f t="shared" si="16"/>
        <v>206350.87791666761</v>
      </c>
      <c r="K45" s="16">
        <f t="shared" si="16"/>
        <v>206350.87791666761</v>
      </c>
      <c r="L45" s="16">
        <f t="shared" si="16"/>
        <v>206350.87791666761</v>
      </c>
      <c r="M45" s="16">
        <f t="shared" si="16"/>
        <v>206350.87791666761</v>
      </c>
      <c r="N45" s="16">
        <f t="shared" si="16"/>
        <v>206350.87791666761</v>
      </c>
      <c r="O45" s="16">
        <f t="shared" si="16"/>
        <v>-10335315.125416664</v>
      </c>
      <c r="P45" s="26">
        <f>SUM(C45:O45)-G45</f>
        <v>4490308.7300000153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30"/>
      <c r="H46" s="17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hidden="1" customHeight="1" x14ac:dyDescent="0.2">
      <c r="A47" s="45" t="s">
        <v>42</v>
      </c>
      <c r="B47" s="6"/>
      <c r="C47" s="17"/>
      <c r="D47" s="17"/>
      <c r="E47" s="17"/>
      <c r="F47" s="17"/>
      <c r="G47" s="30"/>
      <c r="H47" s="17"/>
      <c r="I47" s="17"/>
      <c r="J47" s="17"/>
      <c r="K47" s="17"/>
      <c r="L47" s="17"/>
      <c r="M47" s="17"/>
      <c r="N47" s="17"/>
      <c r="O47" s="17"/>
      <c r="P47" s="30"/>
    </row>
    <row r="48" spans="1:18" s="1" customFormat="1" ht="19.7" hidden="1" customHeight="1" x14ac:dyDescent="0.2">
      <c r="A48" s="7" t="s">
        <v>43</v>
      </c>
      <c r="B48" s="7" t="s">
        <v>44</v>
      </c>
      <c r="C48" s="18">
        <v>0</v>
      </c>
      <c r="D48" s="18">
        <v>0</v>
      </c>
      <c r="E48" s="18">
        <v>0</v>
      </c>
      <c r="F48" s="18">
        <v>0</v>
      </c>
      <c r="G48" s="31"/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0"/>
    </row>
    <row r="49" spans="1:16" s="1" customFormat="1" ht="19.7" hidden="1" customHeight="1" x14ac:dyDescent="0.2">
      <c r="A49" s="7" t="s">
        <v>45</v>
      </c>
      <c r="B49" s="7" t="s">
        <v>46</v>
      </c>
      <c r="C49" s="18">
        <v>-549670.55000000005</v>
      </c>
      <c r="D49" s="18">
        <v>-348710.19</v>
      </c>
      <c r="E49" s="18">
        <v>1514032.79</v>
      </c>
      <c r="F49" s="18">
        <v>161360.10999999999</v>
      </c>
      <c r="G49" s="31"/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0"/>
    </row>
    <row r="50" spans="1:16" s="1" customFormat="1" ht="19.7" hidden="1" customHeight="1" x14ac:dyDescent="0.2">
      <c r="A50" s="7" t="s">
        <v>47</v>
      </c>
      <c r="B50" s="7" t="s">
        <v>48</v>
      </c>
      <c r="C50" s="18">
        <v>-161249.21</v>
      </c>
      <c r="D50" s="18">
        <v>239553.18</v>
      </c>
      <c r="E50" s="18">
        <v>872537.11</v>
      </c>
      <c r="F50" s="18">
        <v>-7363.14</v>
      </c>
      <c r="G50" s="31"/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49</v>
      </c>
      <c r="B51" s="7" t="s">
        <v>50</v>
      </c>
      <c r="C51" s="18">
        <v>0</v>
      </c>
      <c r="D51" s="18">
        <v>0</v>
      </c>
      <c r="E51" s="18">
        <v>0</v>
      </c>
      <c r="F51" s="18">
        <v>0</v>
      </c>
      <c r="G51" s="31"/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45" t="s">
        <v>51</v>
      </c>
      <c r="B52" s="6"/>
      <c r="C52" s="17"/>
      <c r="D52" s="17"/>
      <c r="E52" s="17"/>
      <c r="F52" s="17"/>
      <c r="G52" s="31"/>
      <c r="H52" s="17"/>
      <c r="I52" s="17"/>
      <c r="J52" s="17"/>
      <c r="K52" s="17"/>
      <c r="L52" s="17"/>
      <c r="M52" s="17"/>
      <c r="N52" s="17"/>
      <c r="O52" s="17"/>
      <c r="P52" s="30"/>
    </row>
    <row r="53" spans="1:16" s="1" customFormat="1" ht="19.7" hidden="1" customHeight="1" x14ac:dyDescent="0.2">
      <c r="A53" s="7" t="s">
        <v>52</v>
      </c>
      <c r="B53" s="7" t="s">
        <v>53</v>
      </c>
      <c r="C53" s="18">
        <v>0</v>
      </c>
      <c r="D53" s="18">
        <v>0</v>
      </c>
      <c r="E53" s="18">
        <v>0</v>
      </c>
      <c r="F53" s="18">
        <v>0</v>
      </c>
      <c r="G53" s="31"/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7" t="s">
        <v>54</v>
      </c>
      <c r="B54" s="7" t="s">
        <v>55</v>
      </c>
      <c r="C54" s="18">
        <v>-9915739.1699999999</v>
      </c>
      <c r="D54" s="18">
        <v>-589663.36</v>
      </c>
      <c r="E54" s="18">
        <v>-1598067.39</v>
      </c>
      <c r="F54" s="18">
        <v>909733.53000000096</v>
      </c>
      <c r="G54" s="31"/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0"/>
    </row>
    <row r="55" spans="1:16" s="1" customFormat="1" ht="19.7" hidden="1" customHeight="1" x14ac:dyDescent="0.2">
      <c r="A55" s="7" t="s">
        <v>52</v>
      </c>
      <c r="B55" s="7" t="s">
        <v>56</v>
      </c>
      <c r="C55" s="18">
        <v>555637.31999999995</v>
      </c>
      <c r="D55" s="18">
        <v>-2076206.97</v>
      </c>
      <c r="E55" s="18">
        <v>-581510.64</v>
      </c>
      <c r="F55" s="18">
        <v>-134338.5</v>
      </c>
      <c r="G55" s="31"/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57</v>
      </c>
      <c r="B56" s="7" t="s">
        <v>58</v>
      </c>
      <c r="C56" s="18">
        <v>0</v>
      </c>
      <c r="D56" s="18">
        <v>0</v>
      </c>
      <c r="E56" s="18">
        <v>0</v>
      </c>
      <c r="F56" s="18">
        <v>0</v>
      </c>
      <c r="G56" s="31"/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23</v>
      </c>
      <c r="B57" s="7" t="s">
        <v>59</v>
      </c>
      <c r="C57" s="18">
        <v>0</v>
      </c>
      <c r="D57" s="18">
        <v>0</v>
      </c>
      <c r="E57" s="18">
        <v>0</v>
      </c>
      <c r="F57" s="18">
        <v>0</v>
      </c>
      <c r="G57" s="31"/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60</v>
      </c>
      <c r="B58" s="7" t="s">
        <v>61</v>
      </c>
      <c r="C58" s="18">
        <v>0</v>
      </c>
      <c r="D58" s="18">
        <v>0</v>
      </c>
      <c r="E58" s="18">
        <v>0</v>
      </c>
      <c r="F58" s="18">
        <v>0</v>
      </c>
      <c r="G58" s="31"/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62</v>
      </c>
      <c r="B59" s="7" t="s">
        <v>63</v>
      </c>
      <c r="C59" s="18">
        <v>0</v>
      </c>
      <c r="D59" s="18">
        <v>0</v>
      </c>
      <c r="E59" s="18">
        <v>0</v>
      </c>
      <c r="F59" s="18">
        <v>0</v>
      </c>
      <c r="G59" s="31"/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30.95" hidden="1" customHeight="1" x14ac:dyDescent="0.2">
      <c r="A60" s="7" t="s">
        <v>64</v>
      </c>
      <c r="B60" s="12" t="s">
        <v>65</v>
      </c>
      <c r="C60" s="18">
        <v>0</v>
      </c>
      <c r="D60" s="18">
        <v>0</v>
      </c>
      <c r="E60" s="18">
        <v>0</v>
      </c>
      <c r="F60" s="18">
        <v>0</v>
      </c>
      <c r="G60" s="31"/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customHeight="1" thickBot="1" x14ac:dyDescent="0.25">
      <c r="A61" s="8" t="s">
        <v>66</v>
      </c>
      <c r="B61" s="11"/>
      <c r="C61" s="19">
        <f>SUM(C48:C60)</f>
        <v>-10071021.609999999</v>
      </c>
      <c r="D61" s="19">
        <f>SUM(D48:D60)</f>
        <v>-2775027.34</v>
      </c>
      <c r="E61" s="19">
        <f>SUM(E48:E60)</f>
        <v>206991.87</v>
      </c>
      <c r="F61" s="19">
        <f>SUM(F48:F60)</f>
        <v>929392.00000000093</v>
      </c>
      <c r="G61" s="32"/>
      <c r="H61" s="19">
        <v>-1200000</v>
      </c>
      <c r="I61" s="19">
        <v>-1200000</v>
      </c>
      <c r="J61" s="19">
        <v>-1200000</v>
      </c>
      <c r="K61" s="19">
        <v>-1200000</v>
      </c>
      <c r="L61" s="19">
        <v>-1200000</v>
      </c>
      <c r="M61" s="19">
        <v>-1200000</v>
      </c>
      <c r="N61" s="19">
        <v>-1200000</v>
      </c>
      <c r="O61" s="19">
        <v>-1200000</v>
      </c>
      <c r="P61" s="38"/>
    </row>
    <row r="62" spans="1:16" s="1" customFormat="1" ht="18.2" customHeight="1" x14ac:dyDescent="0.2">
      <c r="A62" s="6"/>
      <c r="B62" s="6"/>
      <c r="C62" s="17"/>
      <c r="D62" s="17"/>
      <c r="E62" s="17"/>
      <c r="F62" s="17"/>
      <c r="G62" s="30"/>
      <c r="H62" s="17"/>
      <c r="I62" s="17"/>
      <c r="J62" s="17"/>
      <c r="K62" s="17"/>
      <c r="L62" s="17"/>
      <c r="M62" s="17"/>
      <c r="N62" s="17"/>
      <c r="O62" s="17"/>
      <c r="P62" s="30"/>
    </row>
    <row r="63" spans="1:16" s="1" customFormat="1" ht="19.7" customHeight="1" thickBot="1" x14ac:dyDescent="0.25">
      <c r="A63" s="13" t="s">
        <v>67</v>
      </c>
      <c r="B63" s="14"/>
      <c r="C63" s="20">
        <f>C3+C45+C61</f>
        <v>17276325.860000003</v>
      </c>
      <c r="D63" s="20">
        <f>D3+D45+D61</f>
        <v>16141735.990000002</v>
      </c>
      <c r="E63" s="20">
        <f>E3+E45+E61</f>
        <v>29148168.039999999</v>
      </c>
      <c r="F63" s="20">
        <f>F3+F45+F61</f>
        <v>25346565.250000011</v>
      </c>
      <c r="G63" s="34"/>
      <c r="H63" s="20">
        <f>H3+H45+H61</f>
        <v>24352916.127916679</v>
      </c>
      <c r="I63" s="20">
        <f t="shared" ref="I63:O63" si="17">I3+I45+I61</f>
        <v>23359267.005833346</v>
      </c>
      <c r="J63" s="20">
        <f t="shared" si="17"/>
        <v>22365617.883750014</v>
      </c>
      <c r="K63" s="20">
        <f t="shared" si="17"/>
        <v>21371968.761666682</v>
      </c>
      <c r="L63" s="20">
        <f t="shared" si="17"/>
        <v>20378319.639583349</v>
      </c>
      <c r="M63" s="20">
        <f t="shared" si="17"/>
        <v>19384670.517500017</v>
      </c>
      <c r="N63" s="20">
        <f t="shared" si="17"/>
        <v>18391021.395416684</v>
      </c>
      <c r="O63" s="20">
        <f t="shared" si="17"/>
        <v>6855706.27000002</v>
      </c>
      <c r="P63" s="39"/>
    </row>
    <row r="64" spans="1:16" s="1" customFormat="1" ht="28.7" customHeight="1" x14ac:dyDescent="0.2">
      <c r="C64" s="21"/>
      <c r="D64" s="21"/>
      <c r="E64" s="21"/>
      <c r="F64" s="21"/>
      <c r="G64" s="35"/>
      <c r="H64" s="21"/>
      <c r="I64" s="21"/>
      <c r="J64" s="21"/>
      <c r="K64" s="21"/>
      <c r="L64" s="21"/>
      <c r="M64" s="21"/>
      <c r="N64" s="21"/>
      <c r="O64" s="21"/>
      <c r="P64" s="21"/>
    </row>
  </sheetData>
  <sheetProtection algorithmName="SHA-512" hashValue="MMrxbgwKe3rWti4RVwEJAQC3gduHYsVyRZQeW+7e5LbQTsLnPR1tKKt1ktq3ptJkvq9KElDk25r42XDwe4DoQQ==" saltValue="nkU53XbEir/BSi2PdFFa4w==" spinCount="100000" sheet="1" objects="1" scenarios="1"/>
  <mergeCells count="2">
    <mergeCell ref="A1:B1"/>
    <mergeCell ref="H1:J1"/>
  </mergeCells>
  <pageMargins left="0.7" right="0.7" top="0.75" bottom="0.75" header="0.3" footer="0.3"/>
  <pageSetup paperSize="9" scale="3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73F16-2A5B-481C-B8F2-222750504BE6}">
  <sheetPr>
    <pageSetUpPr fitToPage="1"/>
  </sheetPr>
  <dimension ref="A1:R6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28" sqref="H28"/>
    </sheetView>
  </sheetViews>
  <sheetFormatPr defaultRowHeight="12.75" x14ac:dyDescent="0.2"/>
  <cols>
    <col min="1" max="1" width="35.5703125" customWidth="1"/>
    <col min="2" max="2" width="20" customWidth="1"/>
    <col min="3" max="5" width="20" style="22" customWidth="1"/>
    <col min="6" max="6" width="20" style="36" customWidth="1"/>
    <col min="7" max="16" width="20" style="22" customWidth="1"/>
    <col min="17" max="17" width="22.85546875" hidden="1" customWidth="1"/>
    <col min="18" max="18" width="14.5703125" hidden="1" customWidth="1"/>
  </cols>
  <sheetData>
    <row r="1" spans="1:18" s="1" customFormat="1" ht="24" customHeight="1" x14ac:dyDescent="0.2">
      <c r="A1" s="69" t="s">
        <v>0</v>
      </c>
      <c r="B1" s="69"/>
      <c r="C1" s="27"/>
      <c r="D1" s="27"/>
      <c r="E1" s="27"/>
      <c r="F1" s="29"/>
      <c r="G1" s="70" t="s">
        <v>1</v>
      </c>
      <c r="H1" s="70"/>
      <c r="I1" s="70"/>
      <c r="J1" s="15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25" t="s">
        <v>16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C63</f>
        <v>17276325.860000003</v>
      </c>
      <c r="E3" s="16">
        <f>D63</f>
        <v>16141735.990000002</v>
      </c>
      <c r="F3" s="26" t="s">
        <v>121</v>
      </c>
      <c r="G3" s="16">
        <f>E63</f>
        <v>24908659.260000002</v>
      </c>
      <c r="H3" s="16">
        <f t="shared" ref="H3:O3" si="0">G63</f>
        <v>22723639.723333336</v>
      </c>
      <c r="I3" s="16">
        <f t="shared" si="0"/>
        <v>20538620.186666671</v>
      </c>
      <c r="J3" s="16">
        <f t="shared" si="0"/>
        <v>18353600.650000006</v>
      </c>
      <c r="K3" s="16">
        <f t="shared" si="0"/>
        <v>16168581.113333341</v>
      </c>
      <c r="L3" s="16">
        <f t="shared" si="0"/>
        <v>13983561.576666676</v>
      </c>
      <c r="M3" s="16">
        <f t="shared" si="0"/>
        <v>11798542.04000001</v>
      </c>
      <c r="N3" s="16">
        <f t="shared" si="0"/>
        <v>9613522.5033333451</v>
      </c>
      <c r="O3" s="16">
        <f t="shared" si="0"/>
        <v>7428502.9666666798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30"/>
      <c r="G4" s="17"/>
      <c r="H4" s="17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31">
        <f t="shared" ref="F5:F16" si="1">SUM(C5:E5)</f>
        <v>207563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3" si="2">SUM(C5:O5)-F5</f>
        <v>207563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13148330</v>
      </c>
      <c r="F6" s="31">
        <f t="shared" si="1"/>
        <v>22022539</v>
      </c>
      <c r="G6" s="28">
        <f t="shared" ref="G6:O16" si="3">($Q6-$F6)/9</f>
        <v>6978373.111111111</v>
      </c>
      <c r="H6" s="28">
        <f t="shared" si="3"/>
        <v>6978373.111111111</v>
      </c>
      <c r="I6" s="28">
        <f t="shared" si="3"/>
        <v>6978373.111111111</v>
      </c>
      <c r="J6" s="28">
        <f t="shared" si="3"/>
        <v>6978373.111111111</v>
      </c>
      <c r="K6" s="28">
        <f t="shared" si="3"/>
        <v>6978373.111111111</v>
      </c>
      <c r="L6" s="28">
        <f t="shared" si="3"/>
        <v>6978373.111111111</v>
      </c>
      <c r="M6" s="28">
        <f t="shared" si="3"/>
        <v>6978373.111111111</v>
      </c>
      <c r="N6" s="28">
        <f t="shared" si="3"/>
        <v>6978373.111111111</v>
      </c>
      <c r="O6" s="28">
        <f t="shared" si="3"/>
        <v>6978373.111111111</v>
      </c>
      <c r="P6" s="31">
        <f t="shared" si="2"/>
        <v>84827896.99999997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0</v>
      </c>
      <c r="F7" s="31">
        <f t="shared" si="1"/>
        <v>286962</v>
      </c>
      <c r="G7" s="28">
        <f t="shared" si="3"/>
        <v>167394.44444444444</v>
      </c>
      <c r="H7" s="28">
        <f t="shared" si="3"/>
        <v>167394.44444444444</v>
      </c>
      <c r="I7" s="28">
        <f t="shared" si="3"/>
        <v>167394.44444444444</v>
      </c>
      <c r="J7" s="28">
        <f t="shared" si="3"/>
        <v>167394.44444444444</v>
      </c>
      <c r="K7" s="28">
        <f t="shared" si="3"/>
        <v>167394.44444444444</v>
      </c>
      <c r="L7" s="28">
        <f t="shared" si="3"/>
        <v>167394.44444444444</v>
      </c>
      <c r="M7" s="28">
        <f t="shared" si="3"/>
        <v>167394.44444444444</v>
      </c>
      <c r="N7" s="28">
        <f t="shared" si="3"/>
        <v>167394.44444444444</v>
      </c>
      <c r="O7" s="28">
        <f t="shared" si="3"/>
        <v>167394.44444444444</v>
      </c>
      <c r="P7" s="31">
        <f t="shared" si="2"/>
        <v>1793512.0000000005</v>
      </c>
      <c r="Q7" s="40">
        <v>1793512</v>
      </c>
      <c r="R7" s="42">
        <f t="shared" ref="R7:R42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-449429</v>
      </c>
      <c r="F8" s="31">
        <f t="shared" si="1"/>
        <v>-449429</v>
      </c>
      <c r="G8" s="28">
        <f t="shared" si="3"/>
        <v>49936.555555555555</v>
      </c>
      <c r="H8" s="28">
        <f t="shared" si="3"/>
        <v>49936.555555555555</v>
      </c>
      <c r="I8" s="28">
        <f t="shared" si="3"/>
        <v>49936.555555555555</v>
      </c>
      <c r="J8" s="28">
        <f t="shared" si="3"/>
        <v>49936.555555555555</v>
      </c>
      <c r="K8" s="28">
        <f t="shared" si="3"/>
        <v>49936.555555555555</v>
      </c>
      <c r="L8" s="28">
        <f t="shared" si="3"/>
        <v>49936.555555555555</v>
      </c>
      <c r="M8" s="28">
        <f t="shared" si="3"/>
        <v>49936.555555555555</v>
      </c>
      <c r="N8" s="28">
        <f t="shared" si="3"/>
        <v>49936.555555555555</v>
      </c>
      <c r="O8" s="28">
        <f t="shared" si="3"/>
        <v>49936.555555555555</v>
      </c>
      <c r="P8" s="31">
        <f t="shared" si="2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0</v>
      </c>
      <c r="F9" s="31">
        <f t="shared" si="1"/>
        <v>51227</v>
      </c>
      <c r="G9" s="28">
        <f t="shared" si="3"/>
        <v>28752.555555555555</v>
      </c>
      <c r="H9" s="28">
        <f t="shared" si="3"/>
        <v>28752.555555555555</v>
      </c>
      <c r="I9" s="28">
        <f t="shared" si="3"/>
        <v>28752.555555555555</v>
      </c>
      <c r="J9" s="28">
        <f t="shared" si="3"/>
        <v>28752.555555555555</v>
      </c>
      <c r="K9" s="28">
        <f t="shared" si="3"/>
        <v>28752.555555555555</v>
      </c>
      <c r="L9" s="28">
        <f t="shared" si="3"/>
        <v>28752.555555555555</v>
      </c>
      <c r="M9" s="28">
        <f t="shared" si="3"/>
        <v>28752.555555555555</v>
      </c>
      <c r="N9" s="28">
        <f t="shared" si="3"/>
        <v>28752.555555555555</v>
      </c>
      <c r="O9" s="28">
        <f t="shared" si="3"/>
        <v>28752.555555555555</v>
      </c>
      <c r="P9" s="31">
        <f t="shared" si="2"/>
        <v>310000.00000000006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31">
        <f t="shared" si="1"/>
        <v>0</v>
      </c>
      <c r="G10" s="28">
        <f t="shared" si="3"/>
        <v>38888.888888888891</v>
      </c>
      <c r="H10" s="28">
        <f t="shared" si="3"/>
        <v>38888.888888888891</v>
      </c>
      <c r="I10" s="28">
        <f t="shared" si="3"/>
        <v>38888.888888888891</v>
      </c>
      <c r="J10" s="28">
        <f t="shared" si="3"/>
        <v>38888.888888888891</v>
      </c>
      <c r="K10" s="28">
        <f t="shared" si="3"/>
        <v>38888.888888888891</v>
      </c>
      <c r="L10" s="28">
        <f t="shared" si="3"/>
        <v>38888.888888888891</v>
      </c>
      <c r="M10" s="28">
        <f t="shared" si="3"/>
        <v>38888.888888888891</v>
      </c>
      <c r="N10" s="28">
        <f t="shared" si="3"/>
        <v>38888.888888888891</v>
      </c>
      <c r="O10" s="28">
        <f t="shared" si="3"/>
        <v>38888.888888888891</v>
      </c>
      <c r="P10" s="31">
        <f t="shared" si="2"/>
        <v>349999.99999999994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0</v>
      </c>
      <c r="F11" s="31">
        <f t="shared" si="1"/>
        <v>22293</v>
      </c>
      <c r="G11" s="28">
        <f t="shared" si="3"/>
        <v>14189.666666666666</v>
      </c>
      <c r="H11" s="28">
        <f t="shared" si="3"/>
        <v>14189.666666666666</v>
      </c>
      <c r="I11" s="28">
        <f t="shared" si="3"/>
        <v>14189.666666666666</v>
      </c>
      <c r="J11" s="28">
        <f t="shared" si="3"/>
        <v>14189.666666666666</v>
      </c>
      <c r="K11" s="28">
        <f t="shared" si="3"/>
        <v>14189.666666666666</v>
      </c>
      <c r="L11" s="28">
        <f t="shared" si="3"/>
        <v>14189.666666666666</v>
      </c>
      <c r="M11" s="28">
        <f t="shared" si="3"/>
        <v>14189.666666666666</v>
      </c>
      <c r="N11" s="28">
        <f t="shared" si="3"/>
        <v>14189.666666666666</v>
      </c>
      <c r="O11" s="28">
        <f t="shared" si="3"/>
        <v>14189.666666666666</v>
      </c>
      <c r="P11" s="31">
        <f t="shared" si="2"/>
        <v>150000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31">
        <f t="shared" si="1"/>
        <v>0</v>
      </c>
      <c r="G12" s="28">
        <f t="shared" si="3"/>
        <v>2888.8888888888887</v>
      </c>
      <c r="H12" s="28">
        <f t="shared" si="3"/>
        <v>2888.8888888888887</v>
      </c>
      <c r="I12" s="28">
        <f t="shared" si="3"/>
        <v>2888.8888888888887</v>
      </c>
      <c r="J12" s="28">
        <f t="shared" si="3"/>
        <v>2888.8888888888887</v>
      </c>
      <c r="K12" s="28">
        <f t="shared" si="3"/>
        <v>2888.8888888888887</v>
      </c>
      <c r="L12" s="28">
        <f t="shared" si="3"/>
        <v>2888.8888888888887</v>
      </c>
      <c r="M12" s="28">
        <f t="shared" si="3"/>
        <v>2888.8888888888887</v>
      </c>
      <c r="N12" s="28">
        <f t="shared" si="3"/>
        <v>2888.8888888888887</v>
      </c>
      <c r="O12" s="28">
        <f t="shared" si="3"/>
        <v>2888.8888888888887</v>
      </c>
      <c r="P12" s="31">
        <f t="shared" si="2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31">
        <f t="shared" si="1"/>
        <v>0</v>
      </c>
      <c r="G13" s="28">
        <f t="shared" si="3"/>
        <v>0</v>
      </c>
      <c r="H13" s="28">
        <f t="shared" si="3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8">
        <f t="shared" si="3"/>
        <v>0</v>
      </c>
      <c r="P13" s="31">
        <f t="shared" si="2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31">
        <f t="shared" si="1"/>
        <v>688333.20000000007</v>
      </c>
      <c r="G14" s="28">
        <f t="shared" si="3"/>
        <v>201296.31111111108</v>
      </c>
      <c r="H14" s="28">
        <f t="shared" si="3"/>
        <v>201296.31111111108</v>
      </c>
      <c r="I14" s="28">
        <f t="shared" si="3"/>
        <v>201296.31111111108</v>
      </c>
      <c r="J14" s="28">
        <f t="shared" si="3"/>
        <v>201296.31111111108</v>
      </c>
      <c r="K14" s="28">
        <f t="shared" si="3"/>
        <v>201296.31111111108</v>
      </c>
      <c r="L14" s="28">
        <f t="shared" si="3"/>
        <v>201296.31111111108</v>
      </c>
      <c r="M14" s="28">
        <f t="shared" si="3"/>
        <v>201296.31111111108</v>
      </c>
      <c r="N14" s="28">
        <f t="shared" si="3"/>
        <v>201296.31111111108</v>
      </c>
      <c r="O14" s="28">
        <f t="shared" si="3"/>
        <v>201296.31111111108</v>
      </c>
      <c r="P14" s="31">
        <f t="shared" si="2"/>
        <v>2500000.0000000005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31">
        <f t="shared" si="1"/>
        <v>0</v>
      </c>
      <c r="G15" s="28">
        <f t="shared" si="3"/>
        <v>0</v>
      </c>
      <c r="H15" s="28">
        <f t="shared" si="3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31">
        <f t="shared" si="2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31">
        <f t="shared" si="1"/>
        <v>0</v>
      </c>
      <c r="G16" s="28">
        <f t="shared" si="3"/>
        <v>50000</v>
      </c>
      <c r="H16" s="28">
        <f t="shared" si="3"/>
        <v>50000</v>
      </c>
      <c r="I16" s="28">
        <f t="shared" si="3"/>
        <v>50000</v>
      </c>
      <c r="J16" s="28">
        <f t="shared" si="3"/>
        <v>50000</v>
      </c>
      <c r="K16" s="28">
        <f t="shared" si="3"/>
        <v>50000</v>
      </c>
      <c r="L16" s="28">
        <f t="shared" si="3"/>
        <v>50000</v>
      </c>
      <c r="M16" s="28">
        <f t="shared" si="3"/>
        <v>50000</v>
      </c>
      <c r="N16" s="28">
        <f t="shared" si="3"/>
        <v>50000</v>
      </c>
      <c r="O16" s="28">
        <f t="shared" si="3"/>
        <v>50000</v>
      </c>
      <c r="P16" s="31">
        <f t="shared" si="2"/>
        <v>450000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>SUM(C6:C16)</f>
        <v>4617346</v>
      </c>
      <c r="D17" s="18">
        <f>SUM(D6:D16)</f>
        <v>4617345</v>
      </c>
      <c r="E17" s="18">
        <f>SUM(E6:E16)</f>
        <v>13387234.199999999</v>
      </c>
      <c r="F17" s="31">
        <f>SUM(F6:F16)</f>
        <v>22621925.199999999</v>
      </c>
      <c r="G17" s="18">
        <f>SUM(G6:G16)</f>
        <v>7531720.4222222231</v>
      </c>
      <c r="H17" s="18">
        <f t="shared" ref="H17:O17" si="5">SUM(H6:H16)</f>
        <v>7531720.4222222231</v>
      </c>
      <c r="I17" s="18">
        <f t="shared" si="5"/>
        <v>7531720.4222222231</v>
      </c>
      <c r="J17" s="18">
        <f t="shared" si="5"/>
        <v>7531720.4222222231</v>
      </c>
      <c r="K17" s="18">
        <f t="shared" si="5"/>
        <v>7531720.4222222231</v>
      </c>
      <c r="L17" s="18">
        <f t="shared" si="5"/>
        <v>7531720.4222222231</v>
      </c>
      <c r="M17" s="18">
        <f t="shared" si="5"/>
        <v>7531720.4222222231</v>
      </c>
      <c r="N17" s="18">
        <f t="shared" si="5"/>
        <v>7531720.4222222231</v>
      </c>
      <c r="O17" s="18">
        <f t="shared" si="5"/>
        <v>7531720.4222222231</v>
      </c>
      <c r="P17" s="31">
        <f t="shared" si="2"/>
        <v>90407409.00000003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31">
        <f t="shared" ref="F18:F32" si="6">SUM(C18:E18)</f>
        <v>0</v>
      </c>
      <c r="G18" s="28">
        <f t="shared" ref="G18:O32" si="7">($Q18-$F18)/9</f>
        <v>1555555.5555555555</v>
      </c>
      <c r="H18" s="28">
        <f t="shared" si="7"/>
        <v>1555555.5555555555</v>
      </c>
      <c r="I18" s="28">
        <f t="shared" si="7"/>
        <v>1555555.5555555555</v>
      </c>
      <c r="J18" s="28">
        <f t="shared" si="7"/>
        <v>1555555.5555555555</v>
      </c>
      <c r="K18" s="28">
        <f t="shared" si="7"/>
        <v>1555555.5555555555</v>
      </c>
      <c r="L18" s="28">
        <f t="shared" si="7"/>
        <v>1555555.5555555555</v>
      </c>
      <c r="M18" s="28">
        <f t="shared" si="7"/>
        <v>1555555.5555555555</v>
      </c>
      <c r="N18" s="28">
        <f t="shared" si="7"/>
        <v>1555555.5555555555</v>
      </c>
      <c r="O18" s="28">
        <f t="shared" si="7"/>
        <v>1555555.5555555555</v>
      </c>
      <c r="P18" s="31">
        <f t="shared" si="2"/>
        <v>14000000.000000002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31">
        <f t="shared" si="6"/>
        <v>64158.45</v>
      </c>
      <c r="G19" s="28">
        <f t="shared" si="7"/>
        <v>23982.394444444442</v>
      </c>
      <c r="H19" s="28">
        <f t="shared" si="7"/>
        <v>23982.394444444442</v>
      </c>
      <c r="I19" s="28">
        <f t="shared" si="7"/>
        <v>23982.394444444442</v>
      </c>
      <c r="J19" s="28">
        <f t="shared" si="7"/>
        <v>23982.394444444442</v>
      </c>
      <c r="K19" s="28">
        <f t="shared" si="7"/>
        <v>23982.394444444442</v>
      </c>
      <c r="L19" s="28">
        <f t="shared" si="7"/>
        <v>23982.394444444442</v>
      </c>
      <c r="M19" s="28">
        <f t="shared" si="7"/>
        <v>23982.394444444442</v>
      </c>
      <c r="N19" s="28">
        <f t="shared" si="7"/>
        <v>23982.394444444442</v>
      </c>
      <c r="O19" s="28">
        <f t="shared" si="7"/>
        <v>23982.394444444442</v>
      </c>
      <c r="P19" s="31">
        <f t="shared" si="2"/>
        <v>280000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31">
        <f t="shared" si="6"/>
        <v>344880.18</v>
      </c>
      <c r="G20" s="28">
        <f t="shared" si="7"/>
        <v>-13875.575555555555</v>
      </c>
      <c r="H20" s="28">
        <f t="shared" si="7"/>
        <v>-13875.575555555555</v>
      </c>
      <c r="I20" s="28">
        <f t="shared" si="7"/>
        <v>-13875.575555555555</v>
      </c>
      <c r="J20" s="28">
        <f t="shared" si="7"/>
        <v>-13875.575555555555</v>
      </c>
      <c r="K20" s="28">
        <f t="shared" si="7"/>
        <v>-13875.575555555555</v>
      </c>
      <c r="L20" s="28">
        <f t="shared" si="7"/>
        <v>-13875.575555555555</v>
      </c>
      <c r="M20" s="28">
        <f t="shared" si="7"/>
        <v>-13875.575555555555</v>
      </c>
      <c r="N20" s="28">
        <f t="shared" si="7"/>
        <v>-13875.575555555555</v>
      </c>
      <c r="O20" s="28">
        <f t="shared" si="7"/>
        <v>-13875.575555555555</v>
      </c>
      <c r="P20" s="31">
        <f t="shared" si="2"/>
        <v>220000.00000000029</v>
      </c>
      <c r="Q20" s="40">
        <v>220000</v>
      </c>
      <c r="R20" s="42">
        <f t="shared" si="4"/>
        <v>2.9103830456733704E-10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31">
        <f t="shared" si="6"/>
        <v>303276.06</v>
      </c>
      <c r="G21" s="28">
        <f t="shared" si="7"/>
        <v>-11475.117777777778</v>
      </c>
      <c r="H21" s="28">
        <f t="shared" si="7"/>
        <v>-11475.117777777778</v>
      </c>
      <c r="I21" s="28">
        <f t="shared" si="7"/>
        <v>-11475.117777777778</v>
      </c>
      <c r="J21" s="28">
        <f t="shared" si="7"/>
        <v>-11475.117777777778</v>
      </c>
      <c r="K21" s="28">
        <f t="shared" si="7"/>
        <v>-11475.117777777778</v>
      </c>
      <c r="L21" s="28">
        <f t="shared" si="7"/>
        <v>-11475.117777777778</v>
      </c>
      <c r="M21" s="28">
        <f t="shared" si="7"/>
        <v>-11475.117777777778</v>
      </c>
      <c r="N21" s="28">
        <f t="shared" si="7"/>
        <v>-11475.117777777778</v>
      </c>
      <c r="O21" s="28">
        <f t="shared" si="7"/>
        <v>-11475.117777777778</v>
      </c>
      <c r="P21" s="31">
        <f t="shared" si="2"/>
        <v>199999.99999999971</v>
      </c>
      <c r="Q21" s="40">
        <v>200000</v>
      </c>
      <c r="R21" s="42">
        <f t="shared" si="4"/>
        <v>-2.9103830456733704E-10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31">
        <f t="shared" si="6"/>
        <v>76617.55</v>
      </c>
      <c r="G22" s="28">
        <f t="shared" si="7"/>
        <v>935931.3833333333</v>
      </c>
      <c r="H22" s="28">
        <f t="shared" si="7"/>
        <v>935931.3833333333</v>
      </c>
      <c r="I22" s="28">
        <f t="shared" si="7"/>
        <v>935931.3833333333</v>
      </c>
      <c r="J22" s="28">
        <f t="shared" si="7"/>
        <v>935931.3833333333</v>
      </c>
      <c r="K22" s="28">
        <f t="shared" si="7"/>
        <v>935931.3833333333</v>
      </c>
      <c r="L22" s="28">
        <f t="shared" si="7"/>
        <v>935931.3833333333</v>
      </c>
      <c r="M22" s="28">
        <f t="shared" si="7"/>
        <v>935931.3833333333</v>
      </c>
      <c r="N22" s="28">
        <f t="shared" si="7"/>
        <v>935931.3833333333</v>
      </c>
      <c r="O22" s="28">
        <f t="shared" si="7"/>
        <v>935931.3833333333</v>
      </c>
      <c r="P22" s="31">
        <f t="shared" si="2"/>
        <v>8499999.9999999981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31">
        <f t="shared" si="6"/>
        <v>0</v>
      </c>
      <c r="G23" s="28">
        <f t="shared" si="7"/>
        <v>207855.11111111112</v>
      </c>
      <c r="H23" s="28">
        <f t="shared" si="7"/>
        <v>207855.11111111112</v>
      </c>
      <c r="I23" s="28">
        <f t="shared" si="7"/>
        <v>207855.11111111112</v>
      </c>
      <c r="J23" s="28">
        <f t="shared" si="7"/>
        <v>207855.11111111112</v>
      </c>
      <c r="K23" s="28">
        <f t="shared" si="7"/>
        <v>207855.11111111112</v>
      </c>
      <c r="L23" s="28">
        <f t="shared" si="7"/>
        <v>207855.11111111112</v>
      </c>
      <c r="M23" s="28">
        <f t="shared" si="7"/>
        <v>207855.11111111112</v>
      </c>
      <c r="N23" s="28">
        <f t="shared" si="7"/>
        <v>207855.11111111112</v>
      </c>
      <c r="O23" s="28">
        <f t="shared" si="7"/>
        <v>207855.11111111112</v>
      </c>
      <c r="P23" s="31">
        <f t="shared" si="2"/>
        <v>1870696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31">
        <f t="shared" si="6"/>
        <v>15</v>
      </c>
      <c r="G24" s="28">
        <f t="shared" si="7"/>
        <v>-1.6666666666666667</v>
      </c>
      <c r="H24" s="28">
        <f t="shared" si="7"/>
        <v>-1.6666666666666667</v>
      </c>
      <c r="I24" s="28">
        <f t="shared" si="7"/>
        <v>-1.6666666666666667</v>
      </c>
      <c r="J24" s="28">
        <f t="shared" si="7"/>
        <v>-1.6666666666666667</v>
      </c>
      <c r="K24" s="28">
        <f t="shared" si="7"/>
        <v>-1.6666666666666667</v>
      </c>
      <c r="L24" s="28">
        <f t="shared" si="7"/>
        <v>-1.6666666666666667</v>
      </c>
      <c r="M24" s="28">
        <f t="shared" si="7"/>
        <v>-1.6666666666666667</v>
      </c>
      <c r="N24" s="28">
        <f t="shared" si="7"/>
        <v>-1.6666666666666667</v>
      </c>
      <c r="O24" s="28">
        <f t="shared" si="7"/>
        <v>-1.6666666666666667</v>
      </c>
      <c r="P24" s="31">
        <f t="shared" si="2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31">
        <f t="shared" si="6"/>
        <v>9939.7999999999993</v>
      </c>
      <c r="G25" s="28">
        <f t="shared" si="7"/>
        <v>1117.8000000000004</v>
      </c>
      <c r="H25" s="28">
        <f t="shared" si="7"/>
        <v>1117.8000000000004</v>
      </c>
      <c r="I25" s="28">
        <f t="shared" si="7"/>
        <v>1117.8000000000004</v>
      </c>
      <c r="J25" s="28">
        <f t="shared" si="7"/>
        <v>1117.8000000000004</v>
      </c>
      <c r="K25" s="28">
        <f t="shared" si="7"/>
        <v>1117.8000000000004</v>
      </c>
      <c r="L25" s="28">
        <f t="shared" si="7"/>
        <v>1117.8000000000004</v>
      </c>
      <c r="M25" s="28">
        <f t="shared" si="7"/>
        <v>1117.8000000000004</v>
      </c>
      <c r="N25" s="28">
        <f t="shared" si="7"/>
        <v>1117.8000000000004</v>
      </c>
      <c r="O25" s="28">
        <f t="shared" si="7"/>
        <v>1117.8000000000004</v>
      </c>
      <c r="P25" s="31">
        <f t="shared" si="2"/>
        <v>19999.999999999993</v>
      </c>
      <c r="Q25" s="40">
        <v>20000.000000000004</v>
      </c>
      <c r="R25" s="42">
        <f t="shared" si="4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26162.53</v>
      </c>
      <c r="F26" s="31">
        <f t="shared" si="6"/>
        <v>26165.279999999999</v>
      </c>
      <c r="G26" s="28">
        <f t="shared" si="7"/>
        <v>8203.8577777777773</v>
      </c>
      <c r="H26" s="28">
        <f t="shared" si="7"/>
        <v>8203.8577777777773</v>
      </c>
      <c r="I26" s="28">
        <f t="shared" si="7"/>
        <v>8203.8577777777773</v>
      </c>
      <c r="J26" s="28">
        <f t="shared" si="7"/>
        <v>8203.8577777777773</v>
      </c>
      <c r="K26" s="28">
        <f t="shared" si="7"/>
        <v>8203.8577777777773</v>
      </c>
      <c r="L26" s="28">
        <f t="shared" si="7"/>
        <v>8203.8577777777773</v>
      </c>
      <c r="M26" s="28">
        <f t="shared" si="7"/>
        <v>8203.8577777777773</v>
      </c>
      <c r="N26" s="28">
        <f t="shared" si="7"/>
        <v>8203.8577777777773</v>
      </c>
      <c r="O26" s="28">
        <f t="shared" si="7"/>
        <v>8203.8577777777773</v>
      </c>
      <c r="P26" s="31">
        <f t="shared" si="2"/>
        <v>100000.00000000003</v>
      </c>
      <c r="Q26" s="40">
        <v>100000</v>
      </c>
      <c r="R26" s="42">
        <f t="shared" si="4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31">
        <f t="shared" si="6"/>
        <v>0</v>
      </c>
      <c r="G27" s="28">
        <f t="shared" si="7"/>
        <v>13888.888888888889</v>
      </c>
      <c r="H27" s="28">
        <f t="shared" si="7"/>
        <v>13888.888888888889</v>
      </c>
      <c r="I27" s="28">
        <f t="shared" si="7"/>
        <v>13888.888888888889</v>
      </c>
      <c r="J27" s="28">
        <f t="shared" si="7"/>
        <v>13888.888888888889</v>
      </c>
      <c r="K27" s="28">
        <f t="shared" si="7"/>
        <v>13888.888888888889</v>
      </c>
      <c r="L27" s="28">
        <f t="shared" si="7"/>
        <v>13888.888888888889</v>
      </c>
      <c r="M27" s="28">
        <f t="shared" si="7"/>
        <v>13888.888888888889</v>
      </c>
      <c r="N27" s="28">
        <f t="shared" si="7"/>
        <v>13888.888888888889</v>
      </c>
      <c r="O27" s="28">
        <f t="shared" si="7"/>
        <v>13888.888888888889</v>
      </c>
      <c r="P27" s="31">
        <f t="shared" si="2"/>
        <v>125000</v>
      </c>
      <c r="Q27" s="40">
        <v>125000</v>
      </c>
      <c r="R27" s="42">
        <f t="shared" si="4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31">
        <f t="shared" si="6"/>
        <v>959250</v>
      </c>
      <c r="G28" s="28">
        <f t="shared" si="7"/>
        <v>115638.88888888889</v>
      </c>
      <c r="H28" s="28">
        <f t="shared" si="7"/>
        <v>115638.88888888889</v>
      </c>
      <c r="I28" s="28">
        <f t="shared" si="7"/>
        <v>115638.88888888889</v>
      </c>
      <c r="J28" s="28">
        <f t="shared" si="7"/>
        <v>115638.88888888889</v>
      </c>
      <c r="K28" s="28">
        <f t="shared" si="7"/>
        <v>115638.88888888889</v>
      </c>
      <c r="L28" s="28">
        <f t="shared" si="7"/>
        <v>115638.88888888889</v>
      </c>
      <c r="M28" s="28">
        <f t="shared" si="7"/>
        <v>115638.88888888889</v>
      </c>
      <c r="N28" s="28">
        <f t="shared" si="7"/>
        <v>115638.88888888889</v>
      </c>
      <c r="O28" s="28">
        <f t="shared" si="7"/>
        <v>115638.88888888889</v>
      </c>
      <c r="P28" s="31">
        <f t="shared" si="2"/>
        <v>2000000.0000000009</v>
      </c>
      <c r="Q28" s="40">
        <v>2000000</v>
      </c>
      <c r="R28" s="42">
        <f t="shared" si="4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31">
        <f t="shared" si="6"/>
        <v>2220</v>
      </c>
      <c r="G29" s="28">
        <f t="shared" si="7"/>
        <v>864.44444444444446</v>
      </c>
      <c r="H29" s="28">
        <f t="shared" si="7"/>
        <v>864.44444444444446</v>
      </c>
      <c r="I29" s="28">
        <f t="shared" si="7"/>
        <v>864.44444444444446</v>
      </c>
      <c r="J29" s="28">
        <f t="shared" si="7"/>
        <v>864.44444444444446</v>
      </c>
      <c r="K29" s="28">
        <f t="shared" si="7"/>
        <v>864.44444444444446</v>
      </c>
      <c r="L29" s="28">
        <f t="shared" si="7"/>
        <v>864.44444444444446</v>
      </c>
      <c r="M29" s="28">
        <f t="shared" si="7"/>
        <v>864.44444444444446</v>
      </c>
      <c r="N29" s="28">
        <f t="shared" si="7"/>
        <v>864.44444444444446</v>
      </c>
      <c r="O29" s="28">
        <f t="shared" si="7"/>
        <v>864.44444444444446</v>
      </c>
      <c r="P29" s="31">
        <f t="shared" si="2"/>
        <v>10000.000000000004</v>
      </c>
      <c r="Q29" s="40">
        <v>10000</v>
      </c>
      <c r="R29" s="42">
        <f t="shared" si="4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31">
        <f t="shared" si="6"/>
        <v>32773.4</v>
      </c>
      <c r="G30" s="28">
        <f t="shared" si="7"/>
        <v>13025.177777777779</v>
      </c>
      <c r="H30" s="28">
        <f t="shared" si="7"/>
        <v>13025.177777777779</v>
      </c>
      <c r="I30" s="28">
        <f t="shared" si="7"/>
        <v>13025.177777777779</v>
      </c>
      <c r="J30" s="28">
        <f t="shared" si="7"/>
        <v>13025.177777777779</v>
      </c>
      <c r="K30" s="28">
        <f t="shared" si="7"/>
        <v>13025.177777777779</v>
      </c>
      <c r="L30" s="28">
        <f t="shared" si="7"/>
        <v>13025.177777777779</v>
      </c>
      <c r="M30" s="28">
        <f t="shared" si="7"/>
        <v>13025.177777777779</v>
      </c>
      <c r="N30" s="28">
        <f t="shared" si="7"/>
        <v>13025.177777777779</v>
      </c>
      <c r="O30" s="28">
        <f t="shared" si="7"/>
        <v>13025.177777777779</v>
      </c>
      <c r="P30" s="31">
        <f t="shared" si="2"/>
        <v>150000</v>
      </c>
      <c r="Q30" s="40">
        <v>150000</v>
      </c>
      <c r="R30" s="42">
        <f t="shared" si="4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31">
        <f t="shared" si="6"/>
        <v>1744220</v>
      </c>
      <c r="G31" s="28">
        <f t="shared" si="7"/>
        <v>239687.11111111112</v>
      </c>
      <c r="H31" s="28">
        <f t="shared" si="7"/>
        <v>239687.11111111112</v>
      </c>
      <c r="I31" s="28">
        <f t="shared" si="7"/>
        <v>239687.11111111112</v>
      </c>
      <c r="J31" s="28">
        <f t="shared" si="7"/>
        <v>239687.11111111112</v>
      </c>
      <c r="K31" s="28">
        <f t="shared" si="7"/>
        <v>239687.11111111112</v>
      </c>
      <c r="L31" s="28">
        <f t="shared" si="7"/>
        <v>239687.11111111112</v>
      </c>
      <c r="M31" s="28">
        <f t="shared" si="7"/>
        <v>239687.11111111112</v>
      </c>
      <c r="N31" s="28">
        <f t="shared" si="7"/>
        <v>239687.11111111112</v>
      </c>
      <c r="O31" s="28">
        <f t="shared" si="7"/>
        <v>239687.11111111112</v>
      </c>
      <c r="P31" s="31">
        <f t="shared" si="2"/>
        <v>3901403.9999999991</v>
      </c>
      <c r="Q31" s="40">
        <v>3901404</v>
      </c>
      <c r="R31" s="42">
        <f t="shared" si="4"/>
        <v>0</v>
      </c>
    </row>
    <row r="32" spans="1:18" s="1" customFormat="1" ht="19.7" customHeight="1" x14ac:dyDescent="0.2">
      <c r="A32" s="23" t="s">
        <v>113</v>
      </c>
      <c r="B32" s="24" t="s">
        <v>114</v>
      </c>
      <c r="C32" s="28">
        <v>-1133.3800000000001</v>
      </c>
      <c r="D32" s="28">
        <v>15004.17</v>
      </c>
      <c r="E32" s="28">
        <v>11170.73</v>
      </c>
      <c r="F32" s="31">
        <f t="shared" si="6"/>
        <v>25041.52</v>
      </c>
      <c r="G32" s="28">
        <f t="shared" si="7"/>
        <v>11662.053333333333</v>
      </c>
      <c r="H32" s="28">
        <f t="shared" si="7"/>
        <v>11662.053333333333</v>
      </c>
      <c r="I32" s="28">
        <f t="shared" si="7"/>
        <v>11662.053333333333</v>
      </c>
      <c r="J32" s="28">
        <f t="shared" si="7"/>
        <v>11662.053333333333</v>
      </c>
      <c r="K32" s="28">
        <f t="shared" si="7"/>
        <v>11662.053333333333</v>
      </c>
      <c r="L32" s="28">
        <f t="shared" si="7"/>
        <v>11662.053333333333</v>
      </c>
      <c r="M32" s="28">
        <f t="shared" si="7"/>
        <v>11662.053333333333</v>
      </c>
      <c r="N32" s="28">
        <f t="shared" si="7"/>
        <v>11662.053333333333</v>
      </c>
      <c r="O32" s="28">
        <f t="shared" si="7"/>
        <v>11662.053333333333</v>
      </c>
      <c r="P32" s="31">
        <f t="shared" si="2"/>
        <v>130000.00000000001</v>
      </c>
      <c r="Q32" s="40">
        <v>130000</v>
      </c>
      <c r="R32" s="42">
        <f t="shared" si="4"/>
        <v>0</v>
      </c>
    </row>
    <row r="33" spans="1:18" s="1" customFormat="1" ht="19.7" customHeight="1" x14ac:dyDescent="0.2">
      <c r="A33" s="7" t="s">
        <v>23</v>
      </c>
      <c r="B33" s="7" t="s">
        <v>24</v>
      </c>
      <c r="C33" s="18">
        <f>SUM(C18:C32)</f>
        <v>424767.23</v>
      </c>
      <c r="D33" s="18">
        <f>SUM(D18:D32)</f>
        <v>3103537.6500000004</v>
      </c>
      <c r="E33" s="18">
        <f>SUM(E18:E32)</f>
        <v>60252.36</v>
      </c>
      <c r="F33" s="31">
        <f>SUM(F18:F32)</f>
        <v>3588557.2399999998</v>
      </c>
      <c r="G33" s="18">
        <f>SUM(G18:G32)</f>
        <v>3102060.3066666662</v>
      </c>
      <c r="H33" s="18">
        <f t="shared" ref="H33:N33" si="8">SUM(H18:H32)</f>
        <v>3102060.3066666662</v>
      </c>
      <c r="I33" s="18">
        <f t="shared" si="8"/>
        <v>3102060.3066666662</v>
      </c>
      <c r="J33" s="18">
        <f t="shared" si="8"/>
        <v>3102060.3066666662</v>
      </c>
      <c r="K33" s="18">
        <f t="shared" si="8"/>
        <v>3102060.3066666662</v>
      </c>
      <c r="L33" s="18">
        <f t="shared" si="8"/>
        <v>3102060.3066666662</v>
      </c>
      <c r="M33" s="18">
        <f t="shared" si="8"/>
        <v>3102060.3066666662</v>
      </c>
      <c r="N33" s="18">
        <f t="shared" si="8"/>
        <v>3102060.3066666662</v>
      </c>
      <c r="O33" s="18">
        <f>SUM(O18:O32)</f>
        <v>3102060.3066666662</v>
      </c>
      <c r="P33" s="31">
        <f t="shared" si="2"/>
        <v>31507099.999999996</v>
      </c>
      <c r="Q33" s="40"/>
      <c r="R33" s="42"/>
    </row>
    <row r="34" spans="1:18" s="1" customFormat="1" ht="19.7" customHeight="1" thickBot="1" x14ac:dyDescent="0.25">
      <c r="A34" s="8" t="s">
        <v>25</v>
      </c>
      <c r="B34" s="9"/>
      <c r="C34" s="19">
        <f>C33+C17+C5</f>
        <v>5042113.2300000004</v>
      </c>
      <c r="D34" s="19">
        <f>D33+D17+D5</f>
        <v>7720882.6500000004</v>
      </c>
      <c r="E34" s="19">
        <f>E33+E17+E5</f>
        <v>13655049.559999999</v>
      </c>
      <c r="F34" s="32">
        <f>SUM(C34:E34)</f>
        <v>26418045.439999998</v>
      </c>
      <c r="G34" s="19">
        <f t="shared" ref="G34:O34" si="9">G33+G17+G5</f>
        <v>10633780.72888889</v>
      </c>
      <c r="H34" s="19">
        <f t="shared" si="9"/>
        <v>10633780.72888889</v>
      </c>
      <c r="I34" s="19">
        <f t="shared" si="9"/>
        <v>10633780.72888889</v>
      </c>
      <c r="J34" s="19">
        <f t="shared" si="9"/>
        <v>10633780.72888889</v>
      </c>
      <c r="K34" s="19">
        <f t="shared" si="9"/>
        <v>10633780.72888889</v>
      </c>
      <c r="L34" s="19">
        <f t="shared" si="9"/>
        <v>10633780.72888889</v>
      </c>
      <c r="M34" s="19">
        <f t="shared" si="9"/>
        <v>10633780.72888889</v>
      </c>
      <c r="N34" s="19">
        <f t="shared" si="9"/>
        <v>10633780.72888889</v>
      </c>
      <c r="O34" s="19">
        <f t="shared" si="9"/>
        <v>10633780.72888889</v>
      </c>
      <c r="P34" s="32">
        <f>P33+P17+P5</f>
        <v>122122072.00000003</v>
      </c>
      <c r="Q34" s="41"/>
      <c r="R34" s="42"/>
    </row>
    <row r="35" spans="1:18" s="1" customFormat="1" ht="12.2" customHeight="1" x14ac:dyDescent="0.2">
      <c r="A35" s="10"/>
      <c r="B35" s="6"/>
      <c r="C35" s="17"/>
      <c r="D35" s="17"/>
      <c r="E35" s="17"/>
      <c r="F35" s="30"/>
      <c r="G35" s="17"/>
      <c r="H35" s="17"/>
      <c r="I35" s="17"/>
      <c r="J35" s="17"/>
      <c r="K35" s="17"/>
      <c r="L35" s="17"/>
      <c r="M35" s="17"/>
      <c r="N35" s="17"/>
      <c r="O35" s="17"/>
      <c r="P35" s="30"/>
      <c r="R35" s="42">
        <f t="shared" si="4"/>
        <v>0</v>
      </c>
    </row>
    <row r="36" spans="1:18" s="1" customFormat="1" ht="19.7" customHeight="1" x14ac:dyDescent="0.2">
      <c r="A36" s="7" t="s">
        <v>26</v>
      </c>
      <c r="B36" s="7" t="s">
        <v>27</v>
      </c>
      <c r="C36" s="18">
        <v>190078.02</v>
      </c>
      <c r="D36" s="18">
        <v>2252338.33</v>
      </c>
      <c r="E36" s="18">
        <v>1598857.26</v>
      </c>
      <c r="F36" s="31">
        <f t="shared" ref="F36:F43" si="10">SUM(C36:E36)</f>
        <v>4041273.6100000003</v>
      </c>
      <c r="G36" s="18">
        <f t="shared" ref="G36:O41" si="11">($Q36-$F36)/9</f>
        <v>4866110.1544444449</v>
      </c>
      <c r="H36" s="18">
        <f t="shared" si="11"/>
        <v>4866110.1544444449</v>
      </c>
      <c r="I36" s="18">
        <f t="shared" si="11"/>
        <v>4866110.1544444449</v>
      </c>
      <c r="J36" s="18">
        <f t="shared" si="11"/>
        <v>4866110.1544444449</v>
      </c>
      <c r="K36" s="18">
        <f t="shared" si="11"/>
        <v>4866110.1544444449</v>
      </c>
      <c r="L36" s="18">
        <f t="shared" si="11"/>
        <v>4866110.1544444449</v>
      </c>
      <c r="M36" s="18">
        <f t="shared" si="11"/>
        <v>4866110.1544444449</v>
      </c>
      <c r="N36" s="18">
        <f t="shared" si="11"/>
        <v>4866110.1544444449</v>
      </c>
      <c r="O36" s="18">
        <f t="shared" si="11"/>
        <v>4866110.1544444449</v>
      </c>
      <c r="P36" s="31">
        <f t="shared" ref="P36:P42" si="12">SUM(C36:O36)-F36</f>
        <v>47836265</v>
      </c>
      <c r="Q36" s="40">
        <v>47836265</v>
      </c>
      <c r="R36" s="42">
        <f t="shared" si="4"/>
        <v>0</v>
      </c>
    </row>
    <row r="37" spans="1:18" s="1" customFormat="1" ht="19.7" customHeight="1" x14ac:dyDescent="0.2">
      <c r="A37" s="7" t="s">
        <v>28</v>
      </c>
      <c r="B37" s="7" t="s">
        <v>29</v>
      </c>
      <c r="C37" s="18">
        <v>471707.08</v>
      </c>
      <c r="D37" s="18">
        <v>1866672.2</v>
      </c>
      <c r="E37" s="18">
        <v>1739553.14</v>
      </c>
      <c r="F37" s="31">
        <f t="shared" si="10"/>
        <v>4077932.42</v>
      </c>
      <c r="G37" s="18">
        <f t="shared" si="11"/>
        <v>2187005.1755555551</v>
      </c>
      <c r="H37" s="18">
        <f t="shared" si="11"/>
        <v>2187005.1755555551</v>
      </c>
      <c r="I37" s="18">
        <f t="shared" si="11"/>
        <v>2187005.1755555551</v>
      </c>
      <c r="J37" s="18">
        <f t="shared" si="11"/>
        <v>2187005.1755555551</v>
      </c>
      <c r="K37" s="18">
        <f t="shared" si="11"/>
        <v>2187005.1755555551</v>
      </c>
      <c r="L37" s="18">
        <f t="shared" si="11"/>
        <v>2187005.1755555551</v>
      </c>
      <c r="M37" s="18">
        <f t="shared" si="11"/>
        <v>2187005.1755555551</v>
      </c>
      <c r="N37" s="18">
        <f t="shared" si="11"/>
        <v>2187005.1755555551</v>
      </c>
      <c r="O37" s="18">
        <f t="shared" si="11"/>
        <v>2187005.1755555551</v>
      </c>
      <c r="P37" s="31">
        <f t="shared" si="12"/>
        <v>23760979</v>
      </c>
      <c r="Q37" s="40">
        <v>23760979</v>
      </c>
      <c r="R37" s="42">
        <f t="shared" si="4"/>
        <v>0</v>
      </c>
    </row>
    <row r="38" spans="1:18" s="1" customFormat="1" ht="19.7" customHeight="1" x14ac:dyDescent="0.2">
      <c r="A38" s="7" t="s">
        <v>30</v>
      </c>
      <c r="B38" s="7" t="s">
        <v>31</v>
      </c>
      <c r="C38" s="18">
        <v>309786.59000000003</v>
      </c>
      <c r="D38" s="18">
        <v>1090937.5900000001</v>
      </c>
      <c r="E38" s="18">
        <v>933433.22000000102</v>
      </c>
      <c r="F38" s="31">
        <f t="shared" si="10"/>
        <v>2334157.4000000013</v>
      </c>
      <c r="G38" s="18">
        <f t="shared" si="11"/>
        <v>3315286.7333333329</v>
      </c>
      <c r="H38" s="18">
        <f t="shared" si="11"/>
        <v>3315286.7333333329</v>
      </c>
      <c r="I38" s="18">
        <f t="shared" si="11"/>
        <v>3315286.7333333329</v>
      </c>
      <c r="J38" s="18">
        <f t="shared" si="11"/>
        <v>3315286.7333333329</v>
      </c>
      <c r="K38" s="18">
        <f t="shared" si="11"/>
        <v>3315286.7333333329</v>
      </c>
      <c r="L38" s="18">
        <f t="shared" si="11"/>
        <v>3315286.7333333329</v>
      </c>
      <c r="M38" s="18">
        <f t="shared" si="11"/>
        <v>3315286.7333333329</v>
      </c>
      <c r="N38" s="18">
        <f t="shared" si="11"/>
        <v>3315286.7333333329</v>
      </c>
      <c r="O38" s="18">
        <f t="shared" si="11"/>
        <v>3315286.7333333329</v>
      </c>
      <c r="P38" s="31">
        <f t="shared" si="12"/>
        <v>32171738.000000004</v>
      </c>
      <c r="Q38" s="40">
        <v>32171738</v>
      </c>
      <c r="R38" s="42">
        <f t="shared" si="4"/>
        <v>0</v>
      </c>
    </row>
    <row r="39" spans="1:18" s="1" customFormat="1" ht="19.7" customHeight="1" x14ac:dyDescent="0.2">
      <c r="A39" s="7" t="s">
        <v>32</v>
      </c>
      <c r="B39" s="7" t="s">
        <v>33</v>
      </c>
      <c r="C39" s="18">
        <v>739.020000000001</v>
      </c>
      <c r="D39" s="18">
        <v>42622.5</v>
      </c>
      <c r="E39" s="18">
        <v>39465.5</v>
      </c>
      <c r="F39" s="31">
        <f t="shared" si="10"/>
        <v>82827.02</v>
      </c>
      <c r="G39" s="18">
        <f t="shared" si="11"/>
        <v>36842.886666666665</v>
      </c>
      <c r="H39" s="18">
        <f t="shared" si="11"/>
        <v>36842.886666666665</v>
      </c>
      <c r="I39" s="18">
        <f t="shared" si="11"/>
        <v>36842.886666666665</v>
      </c>
      <c r="J39" s="18">
        <f t="shared" si="11"/>
        <v>36842.886666666665</v>
      </c>
      <c r="K39" s="18">
        <f t="shared" si="11"/>
        <v>36842.886666666665</v>
      </c>
      <c r="L39" s="18">
        <f t="shared" si="11"/>
        <v>36842.886666666665</v>
      </c>
      <c r="M39" s="18">
        <f t="shared" si="11"/>
        <v>36842.886666666665</v>
      </c>
      <c r="N39" s="18">
        <f t="shared" si="11"/>
        <v>36842.886666666665</v>
      </c>
      <c r="O39" s="18">
        <f t="shared" si="11"/>
        <v>36842.886666666665</v>
      </c>
      <c r="P39" s="31">
        <f t="shared" si="12"/>
        <v>414412.99999999994</v>
      </c>
      <c r="Q39" s="40">
        <v>414413</v>
      </c>
      <c r="R39" s="42">
        <f t="shared" si="4"/>
        <v>0</v>
      </c>
    </row>
    <row r="40" spans="1:18" s="1" customFormat="1" ht="19.7" customHeight="1" x14ac:dyDescent="0.2">
      <c r="A40" s="7" t="s">
        <v>34</v>
      </c>
      <c r="B40" s="7" t="s">
        <v>35</v>
      </c>
      <c r="C40" s="18">
        <v>388197.01</v>
      </c>
      <c r="D40" s="18">
        <v>809215.61</v>
      </c>
      <c r="E40" s="18">
        <v>599976.63</v>
      </c>
      <c r="F40" s="31">
        <f t="shared" si="10"/>
        <v>1797389.25</v>
      </c>
      <c r="G40" s="18">
        <f t="shared" si="11"/>
        <v>1171305.75</v>
      </c>
      <c r="H40" s="18">
        <f t="shared" si="11"/>
        <v>1171305.75</v>
      </c>
      <c r="I40" s="18">
        <f t="shared" si="11"/>
        <v>1171305.75</v>
      </c>
      <c r="J40" s="18">
        <f t="shared" si="11"/>
        <v>1171305.75</v>
      </c>
      <c r="K40" s="18">
        <f t="shared" si="11"/>
        <v>1171305.75</v>
      </c>
      <c r="L40" s="18">
        <f t="shared" si="11"/>
        <v>1171305.75</v>
      </c>
      <c r="M40" s="18">
        <f t="shared" si="11"/>
        <v>1171305.75</v>
      </c>
      <c r="N40" s="18">
        <f t="shared" si="11"/>
        <v>1171305.75</v>
      </c>
      <c r="O40" s="18">
        <f t="shared" si="11"/>
        <v>1171305.75</v>
      </c>
      <c r="P40" s="31">
        <f t="shared" si="12"/>
        <v>12339141</v>
      </c>
      <c r="Q40" s="40">
        <v>12339141</v>
      </c>
      <c r="R40" s="42">
        <f t="shared" si="4"/>
        <v>0</v>
      </c>
    </row>
    <row r="41" spans="1:18" s="1" customFormat="1" ht="19.7" customHeight="1" x14ac:dyDescent="0.2">
      <c r="A41" s="7" t="s">
        <v>36</v>
      </c>
      <c r="B41" s="7" t="s">
        <v>37</v>
      </c>
      <c r="C41" s="18">
        <v>2461.16</v>
      </c>
      <c r="D41" s="18">
        <v>25518.45</v>
      </c>
      <c r="E41" s="18">
        <v>-80275.7</v>
      </c>
      <c r="F41" s="31">
        <f t="shared" si="10"/>
        <v>-52296.09</v>
      </c>
      <c r="G41" s="18">
        <f t="shared" si="11"/>
        <v>42249.56555555555</v>
      </c>
      <c r="H41" s="18">
        <f t="shared" si="11"/>
        <v>42249.56555555555</v>
      </c>
      <c r="I41" s="18">
        <f t="shared" si="11"/>
        <v>42249.56555555555</v>
      </c>
      <c r="J41" s="18">
        <f t="shared" si="11"/>
        <v>42249.56555555555</v>
      </c>
      <c r="K41" s="18">
        <f t="shared" si="11"/>
        <v>42249.56555555555</v>
      </c>
      <c r="L41" s="18">
        <f t="shared" si="11"/>
        <v>42249.56555555555</v>
      </c>
      <c r="M41" s="18">
        <f t="shared" si="11"/>
        <v>42249.56555555555</v>
      </c>
      <c r="N41" s="18">
        <f t="shared" si="11"/>
        <v>42249.56555555555</v>
      </c>
      <c r="O41" s="18">
        <f t="shared" si="11"/>
        <v>42249.56555555555</v>
      </c>
      <c r="P41" s="31">
        <f t="shared" si="12"/>
        <v>327949.99999999988</v>
      </c>
      <c r="Q41" s="40">
        <v>327950</v>
      </c>
      <c r="R41" s="42">
        <f t="shared" si="4"/>
        <v>0</v>
      </c>
    </row>
    <row r="42" spans="1:18" s="1" customFormat="1" ht="19.7" customHeight="1" x14ac:dyDescent="0.2">
      <c r="A42" s="7" t="s">
        <v>38</v>
      </c>
      <c r="B42" s="7" t="s">
        <v>39</v>
      </c>
      <c r="C42" s="18">
        <v>6859.5</v>
      </c>
      <c r="D42" s="18">
        <v>-6859.49999999999</v>
      </c>
      <c r="E42" s="18">
        <v>264108.11</v>
      </c>
      <c r="F42" s="31">
        <f t="shared" si="10"/>
        <v>264108.11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31">
        <f t="shared" si="12"/>
        <v>264108.11</v>
      </c>
      <c r="Q42" s="40">
        <v>0</v>
      </c>
      <c r="R42" s="42">
        <f t="shared" si="4"/>
        <v>264108.11</v>
      </c>
    </row>
    <row r="43" spans="1:18" s="1" customFormat="1" ht="19.7" customHeight="1" thickBot="1" x14ac:dyDescent="0.25">
      <c r="A43" s="8" t="s">
        <v>40</v>
      </c>
      <c r="B43" s="11"/>
      <c r="C43" s="19">
        <f>SUM(C36:C42)</f>
        <v>1369828.38</v>
      </c>
      <c r="D43" s="19">
        <f>SUM(D36:D42)</f>
        <v>6080445.1800000006</v>
      </c>
      <c r="E43" s="19">
        <f>SUM(E36:E42)</f>
        <v>5095118.1600000011</v>
      </c>
      <c r="F43" s="32">
        <f t="shared" si="10"/>
        <v>12545391.720000003</v>
      </c>
      <c r="G43" s="19">
        <f>SUM(G36:G42)</f>
        <v>11618800.265555555</v>
      </c>
      <c r="H43" s="19">
        <f t="shared" ref="H43:O43" si="13">SUM(H36:H42)</f>
        <v>11618800.265555555</v>
      </c>
      <c r="I43" s="19">
        <f t="shared" si="13"/>
        <v>11618800.265555555</v>
      </c>
      <c r="J43" s="19">
        <f t="shared" si="13"/>
        <v>11618800.265555555</v>
      </c>
      <c r="K43" s="19">
        <f t="shared" si="13"/>
        <v>11618800.265555555</v>
      </c>
      <c r="L43" s="19">
        <f t="shared" si="13"/>
        <v>11618800.265555555</v>
      </c>
      <c r="M43" s="19">
        <f t="shared" si="13"/>
        <v>11618800.265555555</v>
      </c>
      <c r="N43" s="19">
        <f t="shared" si="13"/>
        <v>11618800.265555555</v>
      </c>
      <c r="O43" s="19">
        <f t="shared" si="13"/>
        <v>11618800.265555555</v>
      </c>
      <c r="P43" s="32">
        <f>SUM(P36:P42)</f>
        <v>117114594.11</v>
      </c>
    </row>
    <row r="44" spans="1:18" s="1" customFormat="1" ht="18.2" customHeight="1" x14ac:dyDescent="0.2">
      <c r="A44" s="6"/>
      <c r="B44" s="6"/>
      <c r="C44" s="17"/>
      <c r="D44" s="17"/>
      <c r="E44" s="17"/>
      <c r="F44" s="30"/>
      <c r="G44" s="17"/>
      <c r="H44" s="17"/>
      <c r="I44" s="17"/>
      <c r="J44" s="17"/>
      <c r="K44" s="17"/>
      <c r="L44" s="17"/>
      <c r="M44" s="17"/>
      <c r="N44" s="17"/>
      <c r="O44" s="17"/>
      <c r="P44" s="30"/>
    </row>
    <row r="45" spans="1:18" s="1" customFormat="1" ht="19.7" customHeight="1" x14ac:dyDescent="0.2">
      <c r="A45" s="3" t="s">
        <v>41</v>
      </c>
      <c r="B45" s="5"/>
      <c r="C45" s="16">
        <f t="shared" ref="C45:O45" si="14">C34-C43</f>
        <v>3672284.8500000006</v>
      </c>
      <c r="D45" s="16">
        <f t="shared" si="14"/>
        <v>1640437.4699999997</v>
      </c>
      <c r="E45" s="16">
        <f>E34-E43</f>
        <v>8559931.3999999985</v>
      </c>
      <c r="F45" s="33">
        <f>F34-F43</f>
        <v>13872653.719999995</v>
      </c>
      <c r="G45" s="16">
        <f>G34-G43</f>
        <v>-985019.53666666523</v>
      </c>
      <c r="H45" s="16">
        <f t="shared" si="14"/>
        <v>-985019.53666666523</v>
      </c>
      <c r="I45" s="16">
        <f t="shared" si="14"/>
        <v>-985019.53666666523</v>
      </c>
      <c r="J45" s="16">
        <f t="shared" si="14"/>
        <v>-985019.53666666523</v>
      </c>
      <c r="K45" s="16">
        <f t="shared" si="14"/>
        <v>-985019.53666666523</v>
      </c>
      <c r="L45" s="16">
        <f t="shared" si="14"/>
        <v>-985019.53666666523</v>
      </c>
      <c r="M45" s="16">
        <f t="shared" si="14"/>
        <v>-985019.53666666523</v>
      </c>
      <c r="N45" s="16">
        <f t="shared" si="14"/>
        <v>-985019.53666666523</v>
      </c>
      <c r="O45" s="16">
        <f t="shared" si="14"/>
        <v>-985019.53666666523</v>
      </c>
      <c r="P45" s="26">
        <f>SUM(C45:O45)-F45</f>
        <v>5007477.8900000118</v>
      </c>
    </row>
    <row r="46" spans="1:18" s="1" customFormat="1" ht="18.2" customHeight="1" x14ac:dyDescent="0.2">
      <c r="A46" s="6"/>
      <c r="B46" s="6"/>
      <c r="C46" s="17"/>
      <c r="D46" s="17"/>
      <c r="E46" s="17"/>
      <c r="F46" s="30"/>
      <c r="G46" s="17"/>
      <c r="H46" s="17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hidden="1" customHeight="1" x14ac:dyDescent="0.2">
      <c r="A47" s="44" t="s">
        <v>42</v>
      </c>
      <c r="B47" s="6"/>
      <c r="C47" s="17"/>
      <c r="D47" s="17"/>
      <c r="E47" s="17"/>
      <c r="F47" s="30"/>
      <c r="G47" s="17"/>
      <c r="H47" s="17"/>
      <c r="I47" s="17"/>
      <c r="J47" s="17"/>
      <c r="K47" s="17"/>
      <c r="L47" s="17"/>
      <c r="M47" s="17"/>
      <c r="N47" s="17"/>
      <c r="O47" s="17"/>
      <c r="P47" s="30"/>
    </row>
    <row r="48" spans="1:18" s="1" customFormat="1" ht="19.7" hidden="1" customHeight="1" x14ac:dyDescent="0.2">
      <c r="A48" s="7" t="s">
        <v>43</v>
      </c>
      <c r="B48" s="7" t="s">
        <v>44</v>
      </c>
      <c r="C48" s="18">
        <v>0</v>
      </c>
      <c r="D48" s="18">
        <v>0</v>
      </c>
      <c r="E48" s="18">
        <v>0</v>
      </c>
      <c r="F48" s="31"/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0"/>
    </row>
    <row r="49" spans="1:16" s="1" customFormat="1" ht="19.7" hidden="1" customHeight="1" x14ac:dyDescent="0.2">
      <c r="A49" s="7" t="s">
        <v>45</v>
      </c>
      <c r="B49" s="7" t="s">
        <v>46</v>
      </c>
      <c r="C49" s="18">
        <v>-549670.55000000005</v>
      </c>
      <c r="D49" s="18">
        <v>-348710.19</v>
      </c>
      <c r="E49" s="18">
        <v>1514032.79</v>
      </c>
      <c r="F49" s="31"/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0"/>
    </row>
    <row r="50" spans="1:16" s="1" customFormat="1" ht="19.7" hidden="1" customHeight="1" x14ac:dyDescent="0.2">
      <c r="A50" s="7" t="s">
        <v>47</v>
      </c>
      <c r="B50" s="7" t="s">
        <v>48</v>
      </c>
      <c r="C50" s="18">
        <v>-161249.21</v>
      </c>
      <c r="D50" s="18">
        <v>239553.18</v>
      </c>
      <c r="E50" s="18">
        <v>872537.11</v>
      </c>
      <c r="F50" s="31"/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49</v>
      </c>
      <c r="B51" s="7" t="s">
        <v>50</v>
      </c>
      <c r="C51" s="18">
        <v>0</v>
      </c>
      <c r="D51" s="18">
        <v>0</v>
      </c>
      <c r="E51" s="18">
        <v>0</v>
      </c>
      <c r="F51" s="31"/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44" t="s">
        <v>51</v>
      </c>
      <c r="B52" s="6"/>
      <c r="C52" s="17"/>
      <c r="D52" s="17"/>
      <c r="E52" s="17"/>
      <c r="F52" s="31"/>
      <c r="G52" s="17"/>
      <c r="H52" s="17"/>
      <c r="I52" s="17"/>
      <c r="J52" s="17"/>
      <c r="K52" s="17"/>
      <c r="L52" s="17"/>
      <c r="M52" s="17"/>
      <c r="N52" s="17"/>
      <c r="O52" s="17"/>
      <c r="P52" s="30"/>
    </row>
    <row r="53" spans="1:16" s="1" customFormat="1" ht="19.7" hidden="1" customHeight="1" x14ac:dyDescent="0.2">
      <c r="A53" s="7" t="s">
        <v>52</v>
      </c>
      <c r="B53" s="7" t="s">
        <v>53</v>
      </c>
      <c r="C53" s="18">
        <v>0</v>
      </c>
      <c r="D53" s="18">
        <v>0</v>
      </c>
      <c r="E53" s="18">
        <v>0</v>
      </c>
      <c r="F53" s="31"/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7" t="s">
        <v>54</v>
      </c>
      <c r="B54" s="7" t="s">
        <v>55</v>
      </c>
      <c r="C54" s="18">
        <v>-9915739.1699999999</v>
      </c>
      <c r="D54" s="18">
        <v>-589663.36</v>
      </c>
      <c r="E54" s="18">
        <v>-1605743.29</v>
      </c>
      <c r="F54" s="31"/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0"/>
    </row>
    <row r="55" spans="1:16" s="1" customFormat="1" ht="19.7" hidden="1" customHeight="1" x14ac:dyDescent="0.2">
      <c r="A55" s="7" t="s">
        <v>52</v>
      </c>
      <c r="B55" s="7" t="s">
        <v>56</v>
      </c>
      <c r="C55" s="18">
        <v>555637.31999999995</v>
      </c>
      <c r="D55" s="18">
        <v>-2076206.97</v>
      </c>
      <c r="E55" s="18">
        <v>-573834.74</v>
      </c>
      <c r="F55" s="31"/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57</v>
      </c>
      <c r="B56" s="7" t="s">
        <v>58</v>
      </c>
      <c r="C56" s="18">
        <v>0</v>
      </c>
      <c r="D56" s="18">
        <v>0</v>
      </c>
      <c r="E56" s="18">
        <v>0</v>
      </c>
      <c r="F56" s="31"/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23</v>
      </c>
      <c r="B57" s="7" t="s">
        <v>59</v>
      </c>
      <c r="C57" s="18">
        <v>0</v>
      </c>
      <c r="D57" s="18">
        <v>0</v>
      </c>
      <c r="E57" s="18">
        <v>0</v>
      </c>
      <c r="F57" s="31"/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60</v>
      </c>
      <c r="B58" s="7" t="s">
        <v>61</v>
      </c>
      <c r="C58" s="18">
        <v>0</v>
      </c>
      <c r="D58" s="18">
        <v>0</v>
      </c>
      <c r="E58" s="18">
        <v>0</v>
      </c>
      <c r="F58" s="31"/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62</v>
      </c>
      <c r="B59" s="7" t="s">
        <v>63</v>
      </c>
      <c r="C59" s="18">
        <v>0</v>
      </c>
      <c r="D59" s="18">
        <v>0</v>
      </c>
      <c r="E59" s="18">
        <v>0</v>
      </c>
      <c r="F59" s="31"/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30.95" hidden="1" customHeight="1" x14ac:dyDescent="0.2">
      <c r="A60" s="7" t="s">
        <v>64</v>
      </c>
      <c r="B60" s="12" t="s">
        <v>65</v>
      </c>
      <c r="C60" s="18">
        <v>0</v>
      </c>
      <c r="D60" s="18">
        <v>0</v>
      </c>
      <c r="E60" s="18">
        <v>0</v>
      </c>
      <c r="F60" s="31"/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customHeight="1" thickBot="1" x14ac:dyDescent="0.25">
      <c r="A61" s="8" t="s">
        <v>66</v>
      </c>
      <c r="B61" s="11"/>
      <c r="C61" s="19">
        <f>SUM(C48:C60)</f>
        <v>-10071021.609999999</v>
      </c>
      <c r="D61" s="19">
        <f>SUM(D48:D60)</f>
        <v>-2775027.34</v>
      </c>
      <c r="E61" s="19">
        <f>SUM(E48:E60)</f>
        <v>206991.86999999988</v>
      </c>
      <c r="F61" s="32"/>
      <c r="G61" s="19">
        <v>-1200000</v>
      </c>
      <c r="H61" s="19">
        <v>-1200000</v>
      </c>
      <c r="I61" s="19">
        <v>-1200000</v>
      </c>
      <c r="J61" s="19">
        <v>-1200000</v>
      </c>
      <c r="K61" s="19">
        <v>-1200000</v>
      </c>
      <c r="L61" s="19">
        <v>-1200000</v>
      </c>
      <c r="M61" s="19">
        <v>-1200000</v>
      </c>
      <c r="N61" s="19">
        <v>-1200000</v>
      </c>
      <c r="O61" s="19">
        <v>-1200000</v>
      </c>
      <c r="P61" s="38"/>
    </row>
    <row r="62" spans="1:16" s="1" customFormat="1" ht="18.2" customHeight="1" x14ac:dyDescent="0.2">
      <c r="A62" s="6"/>
      <c r="B62" s="6"/>
      <c r="C62" s="17"/>
      <c r="D62" s="17"/>
      <c r="E62" s="17"/>
      <c r="F62" s="30"/>
      <c r="G62" s="17"/>
      <c r="H62" s="17"/>
      <c r="I62" s="17"/>
      <c r="J62" s="17"/>
      <c r="K62" s="17"/>
      <c r="L62" s="17"/>
      <c r="M62" s="17"/>
      <c r="N62" s="17"/>
      <c r="O62" s="17"/>
      <c r="P62" s="30"/>
    </row>
    <row r="63" spans="1:16" s="1" customFormat="1" ht="19.7" customHeight="1" thickBot="1" x14ac:dyDescent="0.25">
      <c r="A63" s="13" t="s">
        <v>67</v>
      </c>
      <c r="B63" s="14"/>
      <c r="C63" s="20">
        <f>C3+C45+C61</f>
        <v>17276325.860000003</v>
      </c>
      <c r="D63" s="20">
        <f>D3+D45+D61</f>
        <v>16141735.990000002</v>
      </c>
      <c r="E63" s="20">
        <f>E3+E45+E61</f>
        <v>24908659.260000002</v>
      </c>
      <c r="F63" s="34"/>
      <c r="G63" s="20">
        <f t="shared" ref="G63:O63" si="15">G3+G45+G61</f>
        <v>22723639.723333336</v>
      </c>
      <c r="H63" s="20">
        <f t="shared" si="15"/>
        <v>20538620.186666671</v>
      </c>
      <c r="I63" s="20">
        <f t="shared" si="15"/>
        <v>18353600.650000006</v>
      </c>
      <c r="J63" s="20">
        <f t="shared" si="15"/>
        <v>16168581.113333341</v>
      </c>
      <c r="K63" s="20">
        <f t="shared" si="15"/>
        <v>13983561.576666676</v>
      </c>
      <c r="L63" s="20">
        <f t="shared" si="15"/>
        <v>11798542.04000001</v>
      </c>
      <c r="M63" s="20">
        <f t="shared" si="15"/>
        <v>9613522.5033333451</v>
      </c>
      <c r="N63" s="20">
        <f t="shared" si="15"/>
        <v>7428502.9666666798</v>
      </c>
      <c r="O63" s="20">
        <f t="shared" si="15"/>
        <v>5243483.4300000146</v>
      </c>
      <c r="P63" s="39"/>
    </row>
    <row r="64" spans="1:16" s="1" customFormat="1" ht="28.7" customHeight="1" x14ac:dyDescent="0.2">
      <c r="C64" s="21"/>
      <c r="D64" s="21"/>
      <c r="E64" s="21"/>
      <c r="F64" s="35"/>
      <c r="G64" s="21"/>
      <c r="H64" s="21"/>
      <c r="I64" s="21"/>
      <c r="J64" s="21"/>
      <c r="K64" s="21"/>
      <c r="L64" s="21"/>
      <c r="M64" s="21"/>
      <c r="N64" s="21"/>
      <c r="O64" s="21"/>
      <c r="P64" s="21"/>
    </row>
  </sheetData>
  <sheetProtection algorithmName="SHA-512" hashValue="enkk3V/BTGJFbqMunjOHnvtIQ8n1RhoeJpaHqcaFEMXnGadmUA+iGdlmVAKaaEldhUMccpZyAkJWDOI0CAHazg==" saltValue="2oytzRwKCr9grIbm3kY8sA==" spinCount="100000" sheet="1" objects="1" scenarios="1"/>
  <mergeCells count="2">
    <mergeCell ref="A1:B1"/>
    <mergeCell ref="G1:I1"/>
  </mergeCells>
  <pageMargins left="0.7" right="0.7" top="0.75" bottom="0.75" header="0.3" footer="0.3"/>
  <pageSetup paperSize="9" scale="3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" sqref="F1:H1"/>
    </sheetView>
  </sheetViews>
  <sheetFormatPr defaultRowHeight="12.75" x14ac:dyDescent="0.2"/>
  <cols>
    <col min="1" max="1" width="35.5703125" customWidth="1"/>
    <col min="2" max="2" width="20" customWidth="1"/>
    <col min="3" max="4" width="20" style="22" customWidth="1"/>
    <col min="5" max="5" width="20" style="36" customWidth="1"/>
    <col min="6" max="16" width="20" style="22" customWidth="1"/>
    <col min="17" max="17" width="22.85546875" hidden="1" customWidth="1"/>
    <col min="18" max="18" width="14.5703125" hidden="1" customWidth="1"/>
  </cols>
  <sheetData>
    <row r="1" spans="1:18" s="1" customFormat="1" ht="24" customHeight="1" x14ac:dyDescent="0.2">
      <c r="A1" s="69" t="s">
        <v>0</v>
      </c>
      <c r="B1" s="69"/>
      <c r="C1" s="27"/>
      <c r="D1" s="27"/>
      <c r="E1" s="29"/>
      <c r="F1" s="70" t="s">
        <v>1</v>
      </c>
      <c r="G1" s="70"/>
      <c r="H1" s="70"/>
      <c r="I1" s="15"/>
      <c r="J1" s="15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25" t="s">
        <v>16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C63</f>
        <v>17276325.860000003</v>
      </c>
      <c r="E3" s="26" t="s">
        <v>118</v>
      </c>
      <c r="F3" s="16">
        <f>D63</f>
        <v>16141735.990000002</v>
      </c>
      <c r="G3" s="16">
        <f>F63</f>
        <v>14916866.058</v>
      </c>
      <c r="H3" s="16">
        <f t="shared" ref="H3:O3" si="0">G63</f>
        <v>13691996.125999998</v>
      </c>
      <c r="I3" s="16">
        <f t="shared" si="0"/>
        <v>12467126.193999996</v>
      </c>
      <c r="J3" s="16">
        <f t="shared" si="0"/>
        <v>11242256.261999995</v>
      </c>
      <c r="K3" s="16">
        <f t="shared" si="0"/>
        <v>10017386.329999993</v>
      </c>
      <c r="L3" s="16">
        <f t="shared" si="0"/>
        <v>8792516.3979999907</v>
      </c>
      <c r="M3" s="16">
        <f t="shared" si="0"/>
        <v>7567646.4659999888</v>
      </c>
      <c r="N3" s="16">
        <f t="shared" si="0"/>
        <v>6342776.5339999869</v>
      </c>
      <c r="O3" s="16">
        <f t="shared" si="0"/>
        <v>5117906.6019999851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30"/>
      <c r="F4" s="17"/>
      <c r="G4" s="17"/>
      <c r="H4" s="17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20</v>
      </c>
      <c r="C5" s="18">
        <v>0</v>
      </c>
      <c r="D5" s="18">
        <v>0</v>
      </c>
      <c r="E5" s="31">
        <f t="shared" ref="E5:E16" si="1">SUM(C5:D5)</f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31">
        <f t="shared" si="1"/>
        <v>8874209</v>
      </c>
      <c r="F6" s="28">
        <f t="shared" ref="F6:O16" si="2">($Q6-$E6)/10</f>
        <v>7595368.7999999998</v>
      </c>
      <c r="G6" s="28">
        <f t="shared" si="2"/>
        <v>7595368.7999999998</v>
      </c>
      <c r="H6" s="28">
        <f t="shared" si="2"/>
        <v>7595368.7999999998</v>
      </c>
      <c r="I6" s="28">
        <f t="shared" si="2"/>
        <v>7595368.7999999998</v>
      </c>
      <c r="J6" s="28">
        <f t="shared" si="2"/>
        <v>7595368.7999999998</v>
      </c>
      <c r="K6" s="28">
        <f t="shared" si="2"/>
        <v>7595368.7999999998</v>
      </c>
      <c r="L6" s="28">
        <f t="shared" si="2"/>
        <v>7595368.7999999998</v>
      </c>
      <c r="M6" s="28">
        <f t="shared" si="2"/>
        <v>7595368.7999999998</v>
      </c>
      <c r="N6" s="28">
        <f t="shared" si="2"/>
        <v>7595368.7999999998</v>
      </c>
      <c r="O6" s="28">
        <f t="shared" si="2"/>
        <v>7595368.7999999998</v>
      </c>
      <c r="P6" s="31">
        <f t="shared" ref="P6:P33" si="3">SUM(C6:O6)-E6</f>
        <v>84827896.999999985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31">
        <f t="shared" si="1"/>
        <v>286962</v>
      </c>
      <c r="F7" s="28">
        <f t="shared" si="2"/>
        <v>150655</v>
      </c>
      <c r="G7" s="28">
        <f t="shared" si="2"/>
        <v>150655</v>
      </c>
      <c r="H7" s="28">
        <f t="shared" si="2"/>
        <v>150655</v>
      </c>
      <c r="I7" s="28">
        <f t="shared" si="2"/>
        <v>150655</v>
      </c>
      <c r="J7" s="28">
        <f t="shared" si="2"/>
        <v>150655</v>
      </c>
      <c r="K7" s="28">
        <f t="shared" si="2"/>
        <v>150655</v>
      </c>
      <c r="L7" s="28">
        <f t="shared" si="2"/>
        <v>150655</v>
      </c>
      <c r="M7" s="28">
        <f t="shared" si="2"/>
        <v>150655</v>
      </c>
      <c r="N7" s="28">
        <f t="shared" si="2"/>
        <v>150655</v>
      </c>
      <c r="O7" s="28">
        <f t="shared" si="2"/>
        <v>150655</v>
      </c>
      <c r="P7" s="31">
        <f t="shared" si="3"/>
        <v>1793512</v>
      </c>
      <c r="Q7" s="40">
        <v>1793512</v>
      </c>
      <c r="R7" s="42">
        <f t="shared" ref="R7:R42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31">
        <f t="shared" si="1"/>
        <v>0</v>
      </c>
      <c r="F8" s="28">
        <f t="shared" si="2"/>
        <v>0</v>
      </c>
      <c r="G8" s="28">
        <f t="shared" si="2"/>
        <v>0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0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0</v>
      </c>
      <c r="P8" s="31">
        <f t="shared" si="3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31">
        <f t="shared" si="1"/>
        <v>51227</v>
      </c>
      <c r="F9" s="28">
        <f t="shared" si="2"/>
        <v>25877.3</v>
      </c>
      <c r="G9" s="28">
        <f t="shared" si="2"/>
        <v>25877.3</v>
      </c>
      <c r="H9" s="28">
        <f t="shared" si="2"/>
        <v>25877.3</v>
      </c>
      <c r="I9" s="28">
        <f t="shared" si="2"/>
        <v>25877.3</v>
      </c>
      <c r="J9" s="28">
        <f t="shared" si="2"/>
        <v>25877.3</v>
      </c>
      <c r="K9" s="28">
        <f t="shared" si="2"/>
        <v>25877.3</v>
      </c>
      <c r="L9" s="28">
        <f t="shared" si="2"/>
        <v>25877.3</v>
      </c>
      <c r="M9" s="28">
        <f t="shared" si="2"/>
        <v>25877.3</v>
      </c>
      <c r="N9" s="28">
        <f t="shared" si="2"/>
        <v>25877.3</v>
      </c>
      <c r="O9" s="28">
        <f t="shared" si="2"/>
        <v>25877.3</v>
      </c>
      <c r="P9" s="31">
        <f t="shared" si="3"/>
        <v>309999.99999999994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31">
        <f t="shared" si="1"/>
        <v>0</v>
      </c>
      <c r="F10" s="28">
        <f t="shared" si="2"/>
        <v>35000</v>
      </c>
      <c r="G10" s="28">
        <f t="shared" si="2"/>
        <v>35000</v>
      </c>
      <c r="H10" s="28">
        <f t="shared" si="2"/>
        <v>35000</v>
      </c>
      <c r="I10" s="28">
        <f t="shared" si="2"/>
        <v>35000</v>
      </c>
      <c r="J10" s="28">
        <f t="shared" si="2"/>
        <v>35000</v>
      </c>
      <c r="K10" s="28">
        <f t="shared" si="2"/>
        <v>35000</v>
      </c>
      <c r="L10" s="28">
        <f t="shared" si="2"/>
        <v>35000</v>
      </c>
      <c r="M10" s="28">
        <f t="shared" si="2"/>
        <v>35000</v>
      </c>
      <c r="N10" s="28">
        <f t="shared" si="2"/>
        <v>35000</v>
      </c>
      <c r="O10" s="28">
        <f t="shared" si="2"/>
        <v>35000</v>
      </c>
      <c r="P10" s="31">
        <f t="shared" si="3"/>
        <v>350000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31">
        <f t="shared" si="1"/>
        <v>22293</v>
      </c>
      <c r="F11" s="28">
        <f t="shared" si="2"/>
        <v>12770.7</v>
      </c>
      <c r="G11" s="28">
        <f t="shared" si="2"/>
        <v>12770.7</v>
      </c>
      <c r="H11" s="28">
        <f t="shared" si="2"/>
        <v>12770.7</v>
      </c>
      <c r="I11" s="28">
        <f t="shared" si="2"/>
        <v>12770.7</v>
      </c>
      <c r="J11" s="28">
        <f t="shared" si="2"/>
        <v>12770.7</v>
      </c>
      <c r="K11" s="28">
        <f t="shared" si="2"/>
        <v>12770.7</v>
      </c>
      <c r="L11" s="28">
        <f t="shared" si="2"/>
        <v>12770.7</v>
      </c>
      <c r="M11" s="28">
        <f t="shared" si="2"/>
        <v>12770.7</v>
      </c>
      <c r="N11" s="28">
        <f t="shared" si="2"/>
        <v>12770.7</v>
      </c>
      <c r="O11" s="28">
        <f t="shared" si="2"/>
        <v>12770.7</v>
      </c>
      <c r="P11" s="31">
        <f t="shared" si="3"/>
        <v>150000.00000000003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31">
        <f t="shared" si="1"/>
        <v>0</v>
      </c>
      <c r="F12" s="28">
        <f t="shared" si="2"/>
        <v>2600</v>
      </c>
      <c r="G12" s="28">
        <f t="shared" si="2"/>
        <v>2600</v>
      </c>
      <c r="H12" s="28">
        <f t="shared" si="2"/>
        <v>2600</v>
      </c>
      <c r="I12" s="28">
        <f t="shared" si="2"/>
        <v>2600</v>
      </c>
      <c r="J12" s="28">
        <f t="shared" si="2"/>
        <v>2600</v>
      </c>
      <c r="K12" s="28">
        <f t="shared" si="2"/>
        <v>2600</v>
      </c>
      <c r="L12" s="28">
        <f t="shared" si="2"/>
        <v>2600</v>
      </c>
      <c r="M12" s="28">
        <f t="shared" si="2"/>
        <v>2600</v>
      </c>
      <c r="N12" s="28">
        <f t="shared" si="2"/>
        <v>2600</v>
      </c>
      <c r="O12" s="28">
        <f t="shared" si="2"/>
        <v>2600</v>
      </c>
      <c r="P12" s="31">
        <f t="shared" si="3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31">
        <f t="shared" si="1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  <c r="O13" s="28">
        <f t="shared" si="2"/>
        <v>0</v>
      </c>
      <c r="P13" s="31">
        <f t="shared" si="3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31">
        <f t="shared" si="1"/>
        <v>0</v>
      </c>
      <c r="F14" s="28">
        <f t="shared" si="2"/>
        <v>250000</v>
      </c>
      <c r="G14" s="28">
        <f t="shared" si="2"/>
        <v>250000</v>
      </c>
      <c r="H14" s="28">
        <f t="shared" si="2"/>
        <v>250000</v>
      </c>
      <c r="I14" s="28">
        <f t="shared" si="2"/>
        <v>250000</v>
      </c>
      <c r="J14" s="28">
        <f t="shared" si="2"/>
        <v>250000</v>
      </c>
      <c r="K14" s="28">
        <f t="shared" si="2"/>
        <v>250000</v>
      </c>
      <c r="L14" s="28">
        <f t="shared" si="2"/>
        <v>250000</v>
      </c>
      <c r="M14" s="28">
        <f t="shared" si="2"/>
        <v>250000</v>
      </c>
      <c r="N14" s="28">
        <f t="shared" si="2"/>
        <v>250000</v>
      </c>
      <c r="O14" s="28">
        <f t="shared" si="2"/>
        <v>250000</v>
      </c>
      <c r="P14" s="31">
        <f t="shared" si="3"/>
        <v>2500000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31">
        <f t="shared" si="1"/>
        <v>0</v>
      </c>
      <c r="F15" s="28">
        <f t="shared" si="2"/>
        <v>0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8">
        <f t="shared" si="2"/>
        <v>0</v>
      </c>
      <c r="O15" s="28">
        <f t="shared" si="2"/>
        <v>0</v>
      </c>
      <c r="P15" s="31">
        <f t="shared" si="3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31">
        <f t="shared" si="1"/>
        <v>0</v>
      </c>
      <c r="F16" s="28">
        <f t="shared" si="2"/>
        <v>45000</v>
      </c>
      <c r="G16" s="28">
        <f t="shared" si="2"/>
        <v>45000</v>
      </c>
      <c r="H16" s="28">
        <f t="shared" si="2"/>
        <v>45000</v>
      </c>
      <c r="I16" s="28">
        <f t="shared" si="2"/>
        <v>45000</v>
      </c>
      <c r="J16" s="28">
        <f t="shared" si="2"/>
        <v>45000</v>
      </c>
      <c r="K16" s="28">
        <f t="shared" si="2"/>
        <v>45000</v>
      </c>
      <c r="L16" s="28">
        <f t="shared" si="2"/>
        <v>45000</v>
      </c>
      <c r="M16" s="28">
        <f t="shared" si="2"/>
        <v>45000</v>
      </c>
      <c r="N16" s="28">
        <f t="shared" si="2"/>
        <v>45000</v>
      </c>
      <c r="O16" s="28">
        <f t="shared" si="2"/>
        <v>45000</v>
      </c>
      <c r="P16" s="31">
        <f t="shared" si="3"/>
        <v>450000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>SUM(C6:C16)</f>
        <v>4617346</v>
      </c>
      <c r="D17" s="18">
        <f t="shared" ref="D17" si="5">SUM(D6:D16)</f>
        <v>4617345</v>
      </c>
      <c r="E17" s="31">
        <f>SUM(E6:E16)</f>
        <v>9234691</v>
      </c>
      <c r="F17" s="18">
        <f t="shared" ref="F17:O17" si="6">SUM(F6:F16)</f>
        <v>8117271.7999999998</v>
      </c>
      <c r="G17" s="18">
        <f t="shared" si="6"/>
        <v>8117271.7999999998</v>
      </c>
      <c r="H17" s="18">
        <f t="shared" si="6"/>
        <v>8117271.7999999998</v>
      </c>
      <c r="I17" s="18">
        <f t="shared" si="6"/>
        <v>8117271.7999999998</v>
      </c>
      <c r="J17" s="18">
        <f t="shared" si="6"/>
        <v>8117271.7999999998</v>
      </c>
      <c r="K17" s="18">
        <f t="shared" si="6"/>
        <v>8117271.7999999998</v>
      </c>
      <c r="L17" s="18">
        <f t="shared" si="6"/>
        <v>8117271.7999999998</v>
      </c>
      <c r="M17" s="18">
        <f t="shared" si="6"/>
        <v>8117271.7999999998</v>
      </c>
      <c r="N17" s="18">
        <f t="shared" si="6"/>
        <v>8117271.7999999998</v>
      </c>
      <c r="O17" s="18">
        <f t="shared" si="6"/>
        <v>8117271.7999999998</v>
      </c>
      <c r="P17" s="31">
        <f t="shared" si="3"/>
        <v>90407408.999999985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31">
        <f t="shared" ref="E18:E32" si="7">SUM(C18:D18)</f>
        <v>0</v>
      </c>
      <c r="F18" s="28">
        <f t="shared" ref="F18:F32" si="8">($Q18-$E18)/10</f>
        <v>1400000</v>
      </c>
      <c r="G18" s="28">
        <f t="shared" ref="G18:O32" si="9">($Q18-$E18)/10</f>
        <v>1400000</v>
      </c>
      <c r="H18" s="28">
        <f t="shared" si="9"/>
        <v>1400000</v>
      </c>
      <c r="I18" s="28">
        <f t="shared" si="9"/>
        <v>1400000</v>
      </c>
      <c r="J18" s="28">
        <f t="shared" si="9"/>
        <v>1400000</v>
      </c>
      <c r="K18" s="28">
        <f t="shared" si="9"/>
        <v>1400000</v>
      </c>
      <c r="L18" s="28">
        <f t="shared" si="9"/>
        <v>1400000</v>
      </c>
      <c r="M18" s="28">
        <f t="shared" si="9"/>
        <v>1400000</v>
      </c>
      <c r="N18" s="28">
        <f t="shared" si="9"/>
        <v>1400000</v>
      </c>
      <c r="O18" s="28">
        <f t="shared" si="9"/>
        <v>1400000</v>
      </c>
      <c r="P18" s="31">
        <f t="shared" si="3"/>
        <v>14000000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31">
        <f t="shared" si="7"/>
        <v>64158.45</v>
      </c>
      <c r="F19" s="28">
        <f t="shared" si="8"/>
        <v>21584.154999999999</v>
      </c>
      <c r="G19" s="28">
        <f t="shared" si="9"/>
        <v>21584.154999999999</v>
      </c>
      <c r="H19" s="28">
        <f t="shared" si="9"/>
        <v>21584.154999999999</v>
      </c>
      <c r="I19" s="28">
        <f t="shared" si="9"/>
        <v>21584.154999999999</v>
      </c>
      <c r="J19" s="28">
        <f t="shared" si="9"/>
        <v>21584.154999999999</v>
      </c>
      <c r="K19" s="28">
        <f t="shared" si="9"/>
        <v>21584.154999999999</v>
      </c>
      <c r="L19" s="28">
        <f t="shared" si="9"/>
        <v>21584.154999999999</v>
      </c>
      <c r="M19" s="28">
        <f t="shared" si="9"/>
        <v>21584.154999999999</v>
      </c>
      <c r="N19" s="28">
        <f t="shared" si="9"/>
        <v>21584.154999999999</v>
      </c>
      <c r="O19" s="28">
        <f t="shared" si="9"/>
        <v>21584.154999999999</v>
      </c>
      <c r="P19" s="31">
        <f t="shared" si="3"/>
        <v>280000.00000000006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31">
        <f t="shared" si="7"/>
        <v>344880.18</v>
      </c>
      <c r="F20" s="28">
        <f t="shared" si="8"/>
        <v>-12488.018</v>
      </c>
      <c r="G20" s="28">
        <f t="shared" si="9"/>
        <v>-12488.018</v>
      </c>
      <c r="H20" s="28">
        <f t="shared" si="9"/>
        <v>-12488.018</v>
      </c>
      <c r="I20" s="28">
        <f t="shared" si="9"/>
        <v>-12488.018</v>
      </c>
      <c r="J20" s="28">
        <f t="shared" si="9"/>
        <v>-12488.018</v>
      </c>
      <c r="K20" s="28">
        <f t="shared" si="9"/>
        <v>-12488.018</v>
      </c>
      <c r="L20" s="28">
        <f t="shared" si="9"/>
        <v>-12488.018</v>
      </c>
      <c r="M20" s="28">
        <f t="shared" si="9"/>
        <v>-12488.018</v>
      </c>
      <c r="N20" s="28">
        <f t="shared" si="9"/>
        <v>-12488.018</v>
      </c>
      <c r="O20" s="28">
        <f t="shared" si="9"/>
        <v>-12488.018</v>
      </c>
      <c r="P20" s="31">
        <f t="shared" si="3"/>
        <v>219999.99999999959</v>
      </c>
      <c r="Q20" s="40">
        <v>220000</v>
      </c>
      <c r="R20" s="42">
        <f t="shared" si="4"/>
        <v>-4.0745362639427185E-10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31">
        <f t="shared" si="7"/>
        <v>303276.06</v>
      </c>
      <c r="F21" s="28">
        <f t="shared" si="8"/>
        <v>-10327.606</v>
      </c>
      <c r="G21" s="28">
        <f t="shared" si="9"/>
        <v>-10327.606</v>
      </c>
      <c r="H21" s="28">
        <f t="shared" si="9"/>
        <v>-10327.606</v>
      </c>
      <c r="I21" s="28">
        <f t="shared" si="9"/>
        <v>-10327.606</v>
      </c>
      <c r="J21" s="28">
        <f t="shared" si="9"/>
        <v>-10327.606</v>
      </c>
      <c r="K21" s="28">
        <f t="shared" si="9"/>
        <v>-10327.606</v>
      </c>
      <c r="L21" s="28">
        <f t="shared" si="9"/>
        <v>-10327.606</v>
      </c>
      <c r="M21" s="28">
        <f t="shared" si="9"/>
        <v>-10327.606</v>
      </c>
      <c r="N21" s="28">
        <f t="shared" si="9"/>
        <v>-10327.606</v>
      </c>
      <c r="O21" s="28">
        <f t="shared" si="9"/>
        <v>-10327.606</v>
      </c>
      <c r="P21" s="31">
        <f t="shared" si="3"/>
        <v>199999.99999999971</v>
      </c>
      <c r="Q21" s="40">
        <v>200000</v>
      </c>
      <c r="R21" s="42">
        <f t="shared" si="4"/>
        <v>-2.9103830456733704E-10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31">
        <f t="shared" si="7"/>
        <v>76617.55</v>
      </c>
      <c r="F22" s="28">
        <f t="shared" si="8"/>
        <v>842338.24499999988</v>
      </c>
      <c r="G22" s="28">
        <f t="shared" si="9"/>
        <v>842338.24499999988</v>
      </c>
      <c r="H22" s="28">
        <f t="shared" si="9"/>
        <v>842338.24499999988</v>
      </c>
      <c r="I22" s="28">
        <f t="shared" si="9"/>
        <v>842338.24499999988</v>
      </c>
      <c r="J22" s="28">
        <f t="shared" si="9"/>
        <v>842338.24499999988</v>
      </c>
      <c r="K22" s="28">
        <f t="shared" si="9"/>
        <v>842338.24499999988</v>
      </c>
      <c r="L22" s="28">
        <f t="shared" si="9"/>
        <v>842338.24499999988</v>
      </c>
      <c r="M22" s="28">
        <f t="shared" si="9"/>
        <v>842338.24499999988</v>
      </c>
      <c r="N22" s="28">
        <f t="shared" si="9"/>
        <v>842338.24499999988</v>
      </c>
      <c r="O22" s="28">
        <f t="shared" si="9"/>
        <v>842338.24499999988</v>
      </c>
      <c r="P22" s="31">
        <f t="shared" si="3"/>
        <v>8500000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31">
        <f t="shared" si="7"/>
        <v>0</v>
      </c>
      <c r="F23" s="28">
        <f t="shared" si="8"/>
        <v>187069.6</v>
      </c>
      <c r="G23" s="28">
        <f t="shared" si="9"/>
        <v>187069.6</v>
      </c>
      <c r="H23" s="28">
        <f t="shared" si="9"/>
        <v>187069.6</v>
      </c>
      <c r="I23" s="28">
        <f t="shared" si="9"/>
        <v>187069.6</v>
      </c>
      <c r="J23" s="28">
        <f t="shared" si="9"/>
        <v>187069.6</v>
      </c>
      <c r="K23" s="28">
        <f t="shared" si="9"/>
        <v>187069.6</v>
      </c>
      <c r="L23" s="28">
        <f t="shared" si="9"/>
        <v>187069.6</v>
      </c>
      <c r="M23" s="28">
        <f t="shared" si="9"/>
        <v>187069.6</v>
      </c>
      <c r="N23" s="28">
        <f t="shared" si="9"/>
        <v>187069.6</v>
      </c>
      <c r="O23" s="28">
        <f t="shared" si="9"/>
        <v>187069.6</v>
      </c>
      <c r="P23" s="31">
        <f t="shared" si="3"/>
        <v>1870696.0000000005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31">
        <f t="shared" si="7"/>
        <v>5</v>
      </c>
      <c r="F24" s="28">
        <f t="shared" si="8"/>
        <v>-0.5</v>
      </c>
      <c r="G24" s="28">
        <f t="shared" si="9"/>
        <v>-0.5</v>
      </c>
      <c r="H24" s="28">
        <f t="shared" si="9"/>
        <v>-0.5</v>
      </c>
      <c r="I24" s="28">
        <f t="shared" si="9"/>
        <v>-0.5</v>
      </c>
      <c r="J24" s="28">
        <f t="shared" si="9"/>
        <v>-0.5</v>
      </c>
      <c r="K24" s="28">
        <f t="shared" si="9"/>
        <v>-0.5</v>
      </c>
      <c r="L24" s="28">
        <f t="shared" si="9"/>
        <v>-0.5</v>
      </c>
      <c r="M24" s="28">
        <f t="shared" si="9"/>
        <v>-0.5</v>
      </c>
      <c r="N24" s="28">
        <f t="shared" si="9"/>
        <v>-0.5</v>
      </c>
      <c r="O24" s="28">
        <f t="shared" si="9"/>
        <v>-0.5</v>
      </c>
      <c r="P24" s="31">
        <f t="shared" si="3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31">
        <f t="shared" si="7"/>
        <v>4639.8</v>
      </c>
      <c r="F25" s="28">
        <f t="shared" si="8"/>
        <v>1536.0200000000004</v>
      </c>
      <c r="G25" s="28">
        <f t="shared" si="9"/>
        <v>1536.0200000000004</v>
      </c>
      <c r="H25" s="28">
        <f t="shared" si="9"/>
        <v>1536.0200000000004</v>
      </c>
      <c r="I25" s="28">
        <f t="shared" si="9"/>
        <v>1536.0200000000004</v>
      </c>
      <c r="J25" s="28">
        <f t="shared" si="9"/>
        <v>1536.0200000000004</v>
      </c>
      <c r="K25" s="28">
        <f t="shared" si="9"/>
        <v>1536.0200000000004</v>
      </c>
      <c r="L25" s="28">
        <f t="shared" si="9"/>
        <v>1536.0200000000004</v>
      </c>
      <c r="M25" s="28">
        <f t="shared" si="9"/>
        <v>1536.0200000000004</v>
      </c>
      <c r="N25" s="28">
        <f t="shared" si="9"/>
        <v>1536.0200000000004</v>
      </c>
      <c r="O25" s="28">
        <f t="shared" si="9"/>
        <v>1536.0200000000004</v>
      </c>
      <c r="P25" s="31">
        <f t="shared" si="3"/>
        <v>20000.000000000007</v>
      </c>
      <c r="Q25" s="40">
        <v>20000.000000000004</v>
      </c>
      <c r="R25" s="42">
        <f t="shared" si="4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31">
        <f t="shared" si="7"/>
        <v>2.75</v>
      </c>
      <c r="F26" s="28">
        <f t="shared" si="8"/>
        <v>9999.7250000000004</v>
      </c>
      <c r="G26" s="28">
        <f t="shared" si="9"/>
        <v>9999.7250000000004</v>
      </c>
      <c r="H26" s="28">
        <f t="shared" si="9"/>
        <v>9999.7250000000004</v>
      </c>
      <c r="I26" s="28">
        <f t="shared" si="9"/>
        <v>9999.7250000000004</v>
      </c>
      <c r="J26" s="28">
        <f t="shared" si="9"/>
        <v>9999.7250000000004</v>
      </c>
      <c r="K26" s="28">
        <f t="shared" si="9"/>
        <v>9999.7250000000004</v>
      </c>
      <c r="L26" s="28">
        <f t="shared" si="9"/>
        <v>9999.7250000000004</v>
      </c>
      <c r="M26" s="28">
        <f t="shared" si="9"/>
        <v>9999.7250000000004</v>
      </c>
      <c r="N26" s="28">
        <f t="shared" si="9"/>
        <v>9999.7250000000004</v>
      </c>
      <c r="O26" s="28">
        <f t="shared" si="9"/>
        <v>9999.7250000000004</v>
      </c>
      <c r="P26" s="31">
        <f t="shared" si="3"/>
        <v>100000.00000000001</v>
      </c>
      <c r="Q26" s="40">
        <v>100000</v>
      </c>
      <c r="R26" s="42">
        <f t="shared" si="4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31">
        <f t="shared" si="7"/>
        <v>0</v>
      </c>
      <c r="F27" s="28">
        <f t="shared" si="8"/>
        <v>12500</v>
      </c>
      <c r="G27" s="28">
        <f t="shared" si="9"/>
        <v>12500</v>
      </c>
      <c r="H27" s="28">
        <f t="shared" si="9"/>
        <v>12500</v>
      </c>
      <c r="I27" s="28">
        <f t="shared" si="9"/>
        <v>12500</v>
      </c>
      <c r="J27" s="28">
        <f t="shared" si="9"/>
        <v>12500</v>
      </c>
      <c r="K27" s="28">
        <f t="shared" si="9"/>
        <v>12500</v>
      </c>
      <c r="L27" s="28">
        <f t="shared" si="9"/>
        <v>12500</v>
      </c>
      <c r="M27" s="28">
        <f t="shared" si="9"/>
        <v>12500</v>
      </c>
      <c r="N27" s="28">
        <f t="shared" si="9"/>
        <v>12500</v>
      </c>
      <c r="O27" s="28">
        <f t="shared" si="9"/>
        <v>12500</v>
      </c>
      <c r="P27" s="31">
        <f t="shared" si="3"/>
        <v>125000</v>
      </c>
      <c r="Q27" s="40">
        <v>125000</v>
      </c>
      <c r="R27" s="42">
        <f t="shared" si="4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31">
        <f t="shared" si="7"/>
        <v>958575</v>
      </c>
      <c r="F28" s="28">
        <f t="shared" si="8"/>
        <v>104142.5</v>
      </c>
      <c r="G28" s="28">
        <f t="shared" si="9"/>
        <v>104142.5</v>
      </c>
      <c r="H28" s="28">
        <f t="shared" si="9"/>
        <v>104142.5</v>
      </c>
      <c r="I28" s="28">
        <f t="shared" si="9"/>
        <v>104142.5</v>
      </c>
      <c r="J28" s="28">
        <f t="shared" si="9"/>
        <v>104142.5</v>
      </c>
      <c r="K28" s="28">
        <f t="shared" si="9"/>
        <v>104142.5</v>
      </c>
      <c r="L28" s="28">
        <f t="shared" si="9"/>
        <v>104142.5</v>
      </c>
      <c r="M28" s="28">
        <f t="shared" si="9"/>
        <v>104142.5</v>
      </c>
      <c r="N28" s="28">
        <f t="shared" si="9"/>
        <v>104142.5</v>
      </c>
      <c r="O28" s="28">
        <f t="shared" si="9"/>
        <v>104142.5</v>
      </c>
      <c r="P28" s="31">
        <f t="shared" si="3"/>
        <v>2000000</v>
      </c>
      <c r="Q28" s="40">
        <v>2000000</v>
      </c>
      <c r="R28" s="42">
        <f t="shared" si="4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31">
        <f t="shared" si="7"/>
        <v>1560</v>
      </c>
      <c r="F29" s="28">
        <f t="shared" si="8"/>
        <v>844</v>
      </c>
      <c r="G29" s="28">
        <f t="shared" si="9"/>
        <v>844</v>
      </c>
      <c r="H29" s="28">
        <f t="shared" si="9"/>
        <v>844</v>
      </c>
      <c r="I29" s="28">
        <f t="shared" si="9"/>
        <v>844</v>
      </c>
      <c r="J29" s="28">
        <f t="shared" si="9"/>
        <v>844</v>
      </c>
      <c r="K29" s="28">
        <f t="shared" si="9"/>
        <v>844</v>
      </c>
      <c r="L29" s="28">
        <f t="shared" si="9"/>
        <v>844</v>
      </c>
      <c r="M29" s="28">
        <f t="shared" si="9"/>
        <v>844</v>
      </c>
      <c r="N29" s="28">
        <f t="shared" si="9"/>
        <v>844</v>
      </c>
      <c r="O29" s="28">
        <f t="shared" si="9"/>
        <v>844</v>
      </c>
      <c r="P29" s="31">
        <f t="shared" si="3"/>
        <v>10000</v>
      </c>
      <c r="Q29" s="40">
        <v>10000</v>
      </c>
      <c r="R29" s="42">
        <f t="shared" si="4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31">
        <f t="shared" si="7"/>
        <v>18569.3</v>
      </c>
      <c r="F30" s="28">
        <f t="shared" si="8"/>
        <v>13143.070000000002</v>
      </c>
      <c r="G30" s="28">
        <f t="shared" si="9"/>
        <v>13143.070000000002</v>
      </c>
      <c r="H30" s="28">
        <f t="shared" si="9"/>
        <v>13143.070000000002</v>
      </c>
      <c r="I30" s="28">
        <f t="shared" si="9"/>
        <v>13143.070000000002</v>
      </c>
      <c r="J30" s="28">
        <f t="shared" si="9"/>
        <v>13143.070000000002</v>
      </c>
      <c r="K30" s="28">
        <f t="shared" si="9"/>
        <v>13143.070000000002</v>
      </c>
      <c r="L30" s="28">
        <f t="shared" si="9"/>
        <v>13143.070000000002</v>
      </c>
      <c r="M30" s="28">
        <f t="shared" si="9"/>
        <v>13143.070000000002</v>
      </c>
      <c r="N30" s="28">
        <f t="shared" si="9"/>
        <v>13143.070000000002</v>
      </c>
      <c r="O30" s="28">
        <f t="shared" si="9"/>
        <v>13143.070000000002</v>
      </c>
      <c r="P30" s="31">
        <f t="shared" si="3"/>
        <v>150000.00000000006</v>
      </c>
      <c r="Q30" s="40">
        <v>150000</v>
      </c>
      <c r="R30" s="42">
        <f t="shared" si="4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31">
        <f t="shared" si="7"/>
        <v>1742150</v>
      </c>
      <c r="F31" s="28">
        <f t="shared" si="8"/>
        <v>215925.4</v>
      </c>
      <c r="G31" s="28">
        <f t="shared" si="9"/>
        <v>215925.4</v>
      </c>
      <c r="H31" s="28">
        <f t="shared" si="9"/>
        <v>215925.4</v>
      </c>
      <c r="I31" s="28">
        <f t="shared" si="9"/>
        <v>215925.4</v>
      </c>
      <c r="J31" s="28">
        <f t="shared" si="9"/>
        <v>215925.4</v>
      </c>
      <c r="K31" s="28">
        <f t="shared" si="9"/>
        <v>215925.4</v>
      </c>
      <c r="L31" s="28">
        <f t="shared" si="9"/>
        <v>215925.4</v>
      </c>
      <c r="M31" s="28">
        <f t="shared" si="9"/>
        <v>215925.4</v>
      </c>
      <c r="N31" s="28">
        <f t="shared" si="9"/>
        <v>215925.4</v>
      </c>
      <c r="O31" s="28">
        <f t="shared" si="9"/>
        <v>215925.4</v>
      </c>
      <c r="P31" s="31">
        <f t="shared" si="3"/>
        <v>3901404.0000000019</v>
      </c>
      <c r="Q31" s="40">
        <v>3901404</v>
      </c>
      <c r="R31" s="42">
        <f t="shared" si="4"/>
        <v>0</v>
      </c>
    </row>
    <row r="32" spans="1:18" s="1" customFormat="1" ht="19.7" customHeight="1" x14ac:dyDescent="0.2">
      <c r="A32" s="23" t="s">
        <v>113</v>
      </c>
      <c r="B32" s="24" t="s">
        <v>114</v>
      </c>
      <c r="C32" s="28">
        <v>-1133.3800000000001</v>
      </c>
      <c r="D32" s="28">
        <v>15004.17</v>
      </c>
      <c r="E32" s="31">
        <f t="shared" si="7"/>
        <v>13870.79</v>
      </c>
      <c r="F32" s="28">
        <f t="shared" si="8"/>
        <v>11612.920999999998</v>
      </c>
      <c r="G32" s="28">
        <f t="shared" si="9"/>
        <v>11612.920999999998</v>
      </c>
      <c r="H32" s="28">
        <f t="shared" si="9"/>
        <v>11612.920999999998</v>
      </c>
      <c r="I32" s="28">
        <f t="shared" si="9"/>
        <v>11612.920999999998</v>
      </c>
      <c r="J32" s="28">
        <f t="shared" si="9"/>
        <v>11612.920999999998</v>
      </c>
      <c r="K32" s="28">
        <f t="shared" si="9"/>
        <v>11612.920999999998</v>
      </c>
      <c r="L32" s="28">
        <f t="shared" si="9"/>
        <v>11612.920999999998</v>
      </c>
      <c r="M32" s="28">
        <f t="shared" si="9"/>
        <v>11612.920999999998</v>
      </c>
      <c r="N32" s="28">
        <f t="shared" si="9"/>
        <v>11612.920999999998</v>
      </c>
      <c r="O32" s="28">
        <f t="shared" si="9"/>
        <v>11612.920999999998</v>
      </c>
      <c r="P32" s="31">
        <f t="shared" si="3"/>
        <v>130000</v>
      </c>
      <c r="Q32" s="40">
        <v>130000</v>
      </c>
      <c r="R32" s="42">
        <f t="shared" si="4"/>
        <v>0</v>
      </c>
    </row>
    <row r="33" spans="1:18" s="1" customFormat="1" ht="19.7" customHeight="1" x14ac:dyDescent="0.2">
      <c r="A33" s="7" t="s">
        <v>23</v>
      </c>
      <c r="B33" s="7" t="s">
        <v>24</v>
      </c>
      <c r="C33" s="18">
        <f>SUM(C18:C32)</f>
        <v>424767.23</v>
      </c>
      <c r="D33" s="18">
        <v>3103537.65</v>
      </c>
      <c r="E33" s="31">
        <f>SUM(E18:E32)</f>
        <v>3528304.88</v>
      </c>
      <c r="F33" s="18">
        <f t="shared" ref="F33:O33" si="10">SUM(F18:F32)</f>
        <v>2797879.5120000001</v>
      </c>
      <c r="G33" s="18">
        <f t="shared" si="10"/>
        <v>2797879.5120000001</v>
      </c>
      <c r="H33" s="18">
        <f t="shared" si="10"/>
        <v>2797879.5120000001</v>
      </c>
      <c r="I33" s="18">
        <f t="shared" si="10"/>
        <v>2797879.5120000001</v>
      </c>
      <c r="J33" s="18">
        <f t="shared" si="10"/>
        <v>2797879.5120000001</v>
      </c>
      <c r="K33" s="18">
        <f t="shared" si="10"/>
        <v>2797879.5120000001</v>
      </c>
      <c r="L33" s="18">
        <f t="shared" si="10"/>
        <v>2797879.5120000001</v>
      </c>
      <c r="M33" s="18">
        <f t="shared" si="10"/>
        <v>2797879.5120000001</v>
      </c>
      <c r="N33" s="18">
        <f t="shared" si="10"/>
        <v>2797879.5120000001</v>
      </c>
      <c r="O33" s="18">
        <f t="shared" si="10"/>
        <v>2797879.5120000001</v>
      </c>
      <c r="P33" s="31">
        <f t="shared" si="3"/>
        <v>31507100.000000011</v>
      </c>
      <c r="Q33" s="40"/>
      <c r="R33" s="42"/>
    </row>
    <row r="34" spans="1:18" s="1" customFormat="1" ht="19.7" customHeight="1" thickBot="1" x14ac:dyDescent="0.25">
      <c r="A34" s="8" t="s">
        <v>25</v>
      </c>
      <c r="B34" s="9"/>
      <c r="C34" s="19">
        <f>C33+C17+C5</f>
        <v>5042113.2300000004</v>
      </c>
      <c r="D34" s="19">
        <f>D33+D17+D5</f>
        <v>7720882.6500000004</v>
      </c>
      <c r="E34" s="32">
        <f>SUM(C34:D34)</f>
        <v>12762995.880000001</v>
      </c>
      <c r="F34" s="19">
        <f t="shared" ref="F34:P34" si="11">F33+F17+F5</f>
        <v>10915151.311999999</v>
      </c>
      <c r="G34" s="19">
        <f t="shared" si="11"/>
        <v>10915151.311999999</v>
      </c>
      <c r="H34" s="19">
        <f t="shared" si="11"/>
        <v>10915151.311999999</v>
      </c>
      <c r="I34" s="19">
        <f t="shared" si="11"/>
        <v>10915151.311999999</v>
      </c>
      <c r="J34" s="19">
        <f t="shared" si="11"/>
        <v>10915151.311999999</v>
      </c>
      <c r="K34" s="19">
        <f t="shared" si="11"/>
        <v>10915151.311999999</v>
      </c>
      <c r="L34" s="19">
        <f t="shared" si="11"/>
        <v>10915151.311999999</v>
      </c>
      <c r="M34" s="19">
        <f t="shared" si="11"/>
        <v>10915151.311999999</v>
      </c>
      <c r="N34" s="19">
        <f t="shared" si="11"/>
        <v>10915151.311999999</v>
      </c>
      <c r="O34" s="19">
        <f t="shared" si="11"/>
        <v>10915151.311999999</v>
      </c>
      <c r="P34" s="32">
        <f t="shared" si="11"/>
        <v>121914509</v>
      </c>
      <c r="Q34" s="41"/>
      <c r="R34" s="42"/>
    </row>
    <row r="35" spans="1:18" s="1" customFormat="1" ht="12.2" customHeight="1" x14ac:dyDescent="0.2">
      <c r="A35" s="10"/>
      <c r="B35" s="6"/>
      <c r="C35" s="17"/>
      <c r="D35" s="17"/>
      <c r="E35" s="30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30"/>
      <c r="R35" s="42">
        <f t="shared" si="4"/>
        <v>0</v>
      </c>
    </row>
    <row r="36" spans="1:18" s="1" customFormat="1" ht="19.7" customHeight="1" x14ac:dyDescent="0.2">
      <c r="A36" s="7" t="s">
        <v>26</v>
      </c>
      <c r="B36" s="7" t="s">
        <v>27</v>
      </c>
      <c r="C36" s="18">
        <v>190078.02</v>
      </c>
      <c r="D36" s="18">
        <v>2252338.33</v>
      </c>
      <c r="E36" s="31">
        <f t="shared" ref="E36:E43" si="12">SUM(C36:D36)</f>
        <v>2442416.35</v>
      </c>
      <c r="F36" s="18">
        <f t="shared" ref="F36:F41" si="13">($Q36-$E36)/10</f>
        <v>4539384.8650000002</v>
      </c>
      <c r="G36" s="18">
        <f t="shared" ref="G36:O41" si="14">($Q36-$E36)/10</f>
        <v>4539384.8650000002</v>
      </c>
      <c r="H36" s="18">
        <f t="shared" si="14"/>
        <v>4539384.8650000002</v>
      </c>
      <c r="I36" s="18">
        <f t="shared" si="14"/>
        <v>4539384.8650000002</v>
      </c>
      <c r="J36" s="18">
        <f t="shared" si="14"/>
        <v>4539384.8650000002</v>
      </c>
      <c r="K36" s="18">
        <f t="shared" si="14"/>
        <v>4539384.8650000002</v>
      </c>
      <c r="L36" s="18">
        <f t="shared" si="14"/>
        <v>4539384.8650000002</v>
      </c>
      <c r="M36" s="18">
        <f t="shared" si="14"/>
        <v>4539384.8650000002</v>
      </c>
      <c r="N36" s="18">
        <f t="shared" si="14"/>
        <v>4539384.8650000002</v>
      </c>
      <c r="O36" s="18">
        <f t="shared" si="14"/>
        <v>4539384.8650000002</v>
      </c>
      <c r="P36" s="31">
        <f t="shared" ref="P36:P42" si="15">SUM(C36:O36)-E36</f>
        <v>47836265.000000015</v>
      </c>
      <c r="Q36" s="40">
        <v>47836265</v>
      </c>
      <c r="R36" s="42">
        <f t="shared" si="4"/>
        <v>0</v>
      </c>
    </row>
    <row r="37" spans="1:18" s="1" customFormat="1" ht="19.7" customHeight="1" x14ac:dyDescent="0.2">
      <c r="A37" s="7" t="s">
        <v>28</v>
      </c>
      <c r="B37" s="7" t="s">
        <v>29</v>
      </c>
      <c r="C37" s="18">
        <v>471707.08</v>
      </c>
      <c r="D37" s="18">
        <v>1866672.2</v>
      </c>
      <c r="E37" s="31">
        <f t="shared" si="12"/>
        <v>2338379.2799999998</v>
      </c>
      <c r="F37" s="18">
        <f t="shared" si="13"/>
        <v>2142259.9720000001</v>
      </c>
      <c r="G37" s="18">
        <f t="shared" si="14"/>
        <v>2142259.9720000001</v>
      </c>
      <c r="H37" s="18">
        <f t="shared" si="14"/>
        <v>2142259.9720000001</v>
      </c>
      <c r="I37" s="18">
        <f t="shared" si="14"/>
        <v>2142259.9720000001</v>
      </c>
      <c r="J37" s="18">
        <f t="shared" si="14"/>
        <v>2142259.9720000001</v>
      </c>
      <c r="K37" s="18">
        <f t="shared" si="14"/>
        <v>2142259.9720000001</v>
      </c>
      <c r="L37" s="18">
        <f t="shared" si="14"/>
        <v>2142259.9720000001</v>
      </c>
      <c r="M37" s="18">
        <f t="shared" si="14"/>
        <v>2142259.9720000001</v>
      </c>
      <c r="N37" s="18">
        <f t="shared" si="14"/>
        <v>2142259.9720000001</v>
      </c>
      <c r="O37" s="18">
        <f t="shared" si="14"/>
        <v>2142259.9720000001</v>
      </c>
      <c r="P37" s="31">
        <f t="shared" si="15"/>
        <v>23760978.999999993</v>
      </c>
      <c r="Q37" s="40">
        <v>23760979</v>
      </c>
      <c r="R37" s="42">
        <f t="shared" si="4"/>
        <v>0</v>
      </c>
    </row>
    <row r="38" spans="1:18" s="1" customFormat="1" ht="19.7" customHeight="1" x14ac:dyDescent="0.2">
      <c r="A38" s="7" t="s">
        <v>30</v>
      </c>
      <c r="B38" s="7" t="s">
        <v>31</v>
      </c>
      <c r="C38" s="18">
        <v>309786.59000000003</v>
      </c>
      <c r="D38" s="18">
        <v>1090937.5900000001</v>
      </c>
      <c r="E38" s="31">
        <f t="shared" si="12"/>
        <v>1400724.1800000002</v>
      </c>
      <c r="F38" s="18">
        <f t="shared" si="13"/>
        <v>3077101.3820000002</v>
      </c>
      <c r="G38" s="18">
        <f t="shared" si="14"/>
        <v>3077101.3820000002</v>
      </c>
      <c r="H38" s="18">
        <f t="shared" si="14"/>
        <v>3077101.3820000002</v>
      </c>
      <c r="I38" s="18">
        <f t="shared" si="14"/>
        <v>3077101.3820000002</v>
      </c>
      <c r="J38" s="18">
        <f t="shared" si="14"/>
        <v>3077101.3820000002</v>
      </c>
      <c r="K38" s="18">
        <f t="shared" si="14"/>
        <v>3077101.3820000002</v>
      </c>
      <c r="L38" s="18">
        <f t="shared" si="14"/>
        <v>3077101.3820000002</v>
      </c>
      <c r="M38" s="18">
        <f t="shared" si="14"/>
        <v>3077101.3820000002</v>
      </c>
      <c r="N38" s="18">
        <f t="shared" si="14"/>
        <v>3077101.3820000002</v>
      </c>
      <c r="O38" s="18">
        <f t="shared" si="14"/>
        <v>3077101.3820000002</v>
      </c>
      <c r="P38" s="31">
        <f t="shared" si="15"/>
        <v>32171738</v>
      </c>
      <c r="Q38" s="40">
        <v>32171738</v>
      </c>
      <c r="R38" s="42">
        <f t="shared" si="4"/>
        <v>0</v>
      </c>
    </row>
    <row r="39" spans="1:18" s="1" customFormat="1" ht="19.7" customHeight="1" x14ac:dyDescent="0.2">
      <c r="A39" s="7" t="s">
        <v>32</v>
      </c>
      <c r="B39" s="7" t="s">
        <v>33</v>
      </c>
      <c r="C39" s="18">
        <v>739.020000000001</v>
      </c>
      <c r="D39" s="18">
        <v>42622.5</v>
      </c>
      <c r="E39" s="31">
        <f t="shared" si="12"/>
        <v>43361.520000000004</v>
      </c>
      <c r="F39" s="18">
        <f t="shared" si="13"/>
        <v>37105.148000000001</v>
      </c>
      <c r="G39" s="18">
        <f t="shared" si="14"/>
        <v>37105.148000000001</v>
      </c>
      <c r="H39" s="18">
        <f t="shared" si="14"/>
        <v>37105.148000000001</v>
      </c>
      <c r="I39" s="18">
        <f t="shared" si="14"/>
        <v>37105.148000000001</v>
      </c>
      <c r="J39" s="18">
        <f t="shared" si="14"/>
        <v>37105.148000000001</v>
      </c>
      <c r="K39" s="18">
        <f t="shared" si="14"/>
        <v>37105.148000000001</v>
      </c>
      <c r="L39" s="18">
        <f t="shared" si="14"/>
        <v>37105.148000000001</v>
      </c>
      <c r="M39" s="18">
        <f t="shared" si="14"/>
        <v>37105.148000000001</v>
      </c>
      <c r="N39" s="18">
        <f t="shared" si="14"/>
        <v>37105.148000000001</v>
      </c>
      <c r="O39" s="18">
        <f t="shared" si="14"/>
        <v>37105.148000000001</v>
      </c>
      <c r="P39" s="31">
        <f t="shared" si="15"/>
        <v>414412.99999999988</v>
      </c>
      <c r="Q39" s="40">
        <v>414413</v>
      </c>
      <c r="R39" s="42">
        <f t="shared" si="4"/>
        <v>0</v>
      </c>
    </row>
    <row r="40" spans="1:18" s="1" customFormat="1" ht="19.7" customHeight="1" x14ac:dyDescent="0.2">
      <c r="A40" s="7" t="s">
        <v>34</v>
      </c>
      <c r="B40" s="7" t="s">
        <v>35</v>
      </c>
      <c r="C40" s="18">
        <v>388197.01</v>
      </c>
      <c r="D40" s="18">
        <v>809215.61</v>
      </c>
      <c r="E40" s="31">
        <f t="shared" si="12"/>
        <v>1197412.6200000001</v>
      </c>
      <c r="F40" s="18">
        <f t="shared" si="13"/>
        <v>1114172.838</v>
      </c>
      <c r="G40" s="18">
        <f t="shared" si="14"/>
        <v>1114172.838</v>
      </c>
      <c r="H40" s="18">
        <f t="shared" si="14"/>
        <v>1114172.838</v>
      </c>
      <c r="I40" s="18">
        <f t="shared" si="14"/>
        <v>1114172.838</v>
      </c>
      <c r="J40" s="18">
        <f t="shared" si="14"/>
        <v>1114172.838</v>
      </c>
      <c r="K40" s="18">
        <f t="shared" si="14"/>
        <v>1114172.838</v>
      </c>
      <c r="L40" s="18">
        <f t="shared" si="14"/>
        <v>1114172.838</v>
      </c>
      <c r="M40" s="18">
        <f t="shared" si="14"/>
        <v>1114172.838</v>
      </c>
      <c r="N40" s="18">
        <f t="shared" si="14"/>
        <v>1114172.838</v>
      </c>
      <c r="O40" s="18">
        <f t="shared" si="14"/>
        <v>1114172.838</v>
      </c>
      <c r="P40" s="31">
        <f t="shared" si="15"/>
        <v>12339140.999999996</v>
      </c>
      <c r="Q40" s="40">
        <v>12339141</v>
      </c>
      <c r="R40" s="42">
        <f t="shared" si="4"/>
        <v>0</v>
      </c>
    </row>
    <row r="41" spans="1:18" s="1" customFormat="1" ht="19.7" customHeight="1" x14ac:dyDescent="0.2">
      <c r="A41" s="7" t="s">
        <v>36</v>
      </c>
      <c r="B41" s="7" t="s">
        <v>37</v>
      </c>
      <c r="C41" s="18">
        <v>2461.16</v>
      </c>
      <c r="D41" s="18">
        <v>25518.45</v>
      </c>
      <c r="E41" s="31">
        <f t="shared" si="12"/>
        <v>27979.61</v>
      </c>
      <c r="F41" s="18">
        <f t="shared" si="13"/>
        <v>29997.039000000001</v>
      </c>
      <c r="G41" s="18">
        <f t="shared" si="14"/>
        <v>29997.039000000001</v>
      </c>
      <c r="H41" s="18">
        <f t="shared" si="14"/>
        <v>29997.039000000001</v>
      </c>
      <c r="I41" s="18">
        <f t="shared" si="14"/>
        <v>29997.039000000001</v>
      </c>
      <c r="J41" s="18">
        <f t="shared" si="14"/>
        <v>29997.039000000001</v>
      </c>
      <c r="K41" s="18">
        <f t="shared" si="14"/>
        <v>29997.039000000001</v>
      </c>
      <c r="L41" s="18">
        <f t="shared" si="14"/>
        <v>29997.039000000001</v>
      </c>
      <c r="M41" s="18">
        <f t="shared" si="14"/>
        <v>29997.039000000001</v>
      </c>
      <c r="N41" s="18">
        <f t="shared" si="14"/>
        <v>29997.039000000001</v>
      </c>
      <c r="O41" s="18">
        <f t="shared" si="14"/>
        <v>29997.039000000001</v>
      </c>
      <c r="P41" s="31">
        <f t="shared" si="15"/>
        <v>327949.99999999994</v>
      </c>
      <c r="Q41" s="40">
        <v>327950</v>
      </c>
      <c r="R41" s="42">
        <f t="shared" si="4"/>
        <v>0</v>
      </c>
    </row>
    <row r="42" spans="1:18" s="1" customFormat="1" ht="19.7" customHeight="1" x14ac:dyDescent="0.2">
      <c r="A42" s="7" t="s">
        <v>38</v>
      </c>
      <c r="B42" s="7" t="s">
        <v>39</v>
      </c>
      <c r="C42" s="18">
        <v>6859.5</v>
      </c>
      <c r="D42" s="18">
        <v>-6859.49999999999</v>
      </c>
      <c r="E42" s="31">
        <f t="shared" si="12"/>
        <v>1.0004441719502211E-11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31">
        <f t="shared" si="15"/>
        <v>1.0004441719502211E-11</v>
      </c>
      <c r="Q42" s="40">
        <v>0</v>
      </c>
      <c r="R42" s="42">
        <f t="shared" si="4"/>
        <v>1.0004441719502211E-11</v>
      </c>
    </row>
    <row r="43" spans="1:18" s="1" customFormat="1" ht="19.7" customHeight="1" thickBot="1" x14ac:dyDescent="0.25">
      <c r="A43" s="8" t="s">
        <v>40</v>
      </c>
      <c r="B43" s="11"/>
      <c r="C43" s="19">
        <f>SUM(C36:C42)</f>
        <v>1369828.38</v>
      </c>
      <c r="D43" s="19">
        <f>SUM(D36:D42)</f>
        <v>6080445.1800000006</v>
      </c>
      <c r="E43" s="32">
        <f t="shared" si="12"/>
        <v>7450273.5600000005</v>
      </c>
      <c r="F43" s="19">
        <f t="shared" ref="F43:P43" si="16">SUM(F36:F42)</f>
        <v>10940021.244000001</v>
      </c>
      <c r="G43" s="19">
        <f t="shared" si="16"/>
        <v>10940021.244000001</v>
      </c>
      <c r="H43" s="19">
        <f t="shared" si="16"/>
        <v>10940021.244000001</v>
      </c>
      <c r="I43" s="19">
        <f t="shared" si="16"/>
        <v>10940021.244000001</v>
      </c>
      <c r="J43" s="19">
        <f t="shared" si="16"/>
        <v>10940021.244000001</v>
      </c>
      <c r="K43" s="19">
        <f t="shared" si="16"/>
        <v>10940021.244000001</v>
      </c>
      <c r="L43" s="19">
        <f t="shared" si="16"/>
        <v>10940021.244000001</v>
      </c>
      <c r="M43" s="19">
        <f t="shared" si="16"/>
        <v>10940021.244000001</v>
      </c>
      <c r="N43" s="19">
        <f t="shared" si="16"/>
        <v>10940021.244000001</v>
      </c>
      <c r="O43" s="19">
        <f t="shared" si="16"/>
        <v>10940021.244000001</v>
      </c>
      <c r="P43" s="32">
        <f t="shared" si="16"/>
        <v>116850486</v>
      </c>
    </row>
    <row r="44" spans="1:18" s="1" customFormat="1" ht="18.2" customHeight="1" x14ac:dyDescent="0.2">
      <c r="A44" s="6"/>
      <c r="B44" s="6"/>
      <c r="C44" s="17"/>
      <c r="D44" s="17"/>
      <c r="E44" s="30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30"/>
    </row>
    <row r="45" spans="1:18" s="1" customFormat="1" ht="19.7" customHeight="1" x14ac:dyDescent="0.2">
      <c r="A45" s="3" t="s">
        <v>41</v>
      </c>
      <c r="B45" s="5"/>
      <c r="C45" s="16">
        <f t="shared" ref="C45:O45" si="17">C34-C43</f>
        <v>3672284.8500000006</v>
      </c>
      <c r="D45" s="16">
        <f>D34-D43</f>
        <v>1640437.4699999997</v>
      </c>
      <c r="E45" s="33">
        <f>E34-E43</f>
        <v>5312722.32</v>
      </c>
      <c r="F45" s="16">
        <f t="shared" si="17"/>
        <v>-24869.932000001892</v>
      </c>
      <c r="G45" s="16">
        <f t="shared" si="17"/>
        <v>-24869.932000001892</v>
      </c>
      <c r="H45" s="16">
        <f t="shared" si="17"/>
        <v>-24869.932000001892</v>
      </c>
      <c r="I45" s="16">
        <f t="shared" si="17"/>
        <v>-24869.932000001892</v>
      </c>
      <c r="J45" s="16">
        <f t="shared" si="17"/>
        <v>-24869.932000001892</v>
      </c>
      <c r="K45" s="16">
        <f t="shared" si="17"/>
        <v>-24869.932000001892</v>
      </c>
      <c r="L45" s="16">
        <f t="shared" si="17"/>
        <v>-24869.932000001892</v>
      </c>
      <c r="M45" s="16">
        <f t="shared" si="17"/>
        <v>-24869.932000001892</v>
      </c>
      <c r="N45" s="16">
        <f t="shared" si="17"/>
        <v>-24869.932000001892</v>
      </c>
      <c r="O45" s="16">
        <f t="shared" si="17"/>
        <v>-24869.932000001892</v>
      </c>
      <c r="P45" s="26">
        <f>SUM(C45:O45)-E45</f>
        <v>5064022.9999999814</v>
      </c>
    </row>
    <row r="46" spans="1:18" s="1" customFormat="1" ht="18.2" customHeight="1" x14ac:dyDescent="0.2">
      <c r="A46" s="6"/>
      <c r="B46" s="6"/>
      <c r="C46" s="17"/>
      <c r="D46" s="17"/>
      <c r="E46" s="30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hidden="1" customHeight="1" x14ac:dyDescent="0.2">
      <c r="A47" s="2" t="s">
        <v>42</v>
      </c>
      <c r="B47" s="6"/>
      <c r="C47" s="17"/>
      <c r="D47" s="17"/>
      <c r="E47" s="30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30"/>
    </row>
    <row r="48" spans="1:18" s="1" customFormat="1" ht="19.7" hidden="1" customHeight="1" x14ac:dyDescent="0.2">
      <c r="A48" s="7" t="s">
        <v>43</v>
      </c>
      <c r="B48" s="7" t="s">
        <v>44</v>
      </c>
      <c r="C48" s="18">
        <v>0</v>
      </c>
      <c r="D48" s="18">
        <v>0</v>
      </c>
      <c r="E48" s="31"/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0"/>
    </row>
    <row r="49" spans="1:16" s="1" customFormat="1" ht="19.7" hidden="1" customHeight="1" x14ac:dyDescent="0.2">
      <c r="A49" s="7" t="s">
        <v>45</v>
      </c>
      <c r="B49" s="7" t="s">
        <v>46</v>
      </c>
      <c r="C49" s="18">
        <v>-549670.55000000005</v>
      </c>
      <c r="D49" s="18">
        <v>-348710.19</v>
      </c>
      <c r="E49" s="31"/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0"/>
    </row>
    <row r="50" spans="1:16" s="1" customFormat="1" ht="19.7" hidden="1" customHeight="1" x14ac:dyDescent="0.2">
      <c r="A50" s="7" t="s">
        <v>47</v>
      </c>
      <c r="B50" s="7" t="s">
        <v>48</v>
      </c>
      <c r="C50" s="18">
        <v>-161249.21</v>
      </c>
      <c r="D50" s="18">
        <v>239553.18</v>
      </c>
      <c r="E50" s="31"/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49</v>
      </c>
      <c r="B51" s="7" t="s">
        <v>50</v>
      </c>
      <c r="C51" s="18">
        <v>0</v>
      </c>
      <c r="D51" s="18">
        <v>0</v>
      </c>
      <c r="E51" s="31"/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2" t="s">
        <v>51</v>
      </c>
      <c r="B52" s="6"/>
      <c r="C52" s="17"/>
      <c r="D52" s="17"/>
      <c r="E52" s="31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30"/>
    </row>
    <row r="53" spans="1:16" s="1" customFormat="1" ht="19.7" hidden="1" customHeight="1" x14ac:dyDescent="0.2">
      <c r="A53" s="7" t="s">
        <v>52</v>
      </c>
      <c r="B53" s="7" t="s">
        <v>53</v>
      </c>
      <c r="C53" s="18">
        <v>0</v>
      </c>
      <c r="D53" s="18">
        <v>0</v>
      </c>
      <c r="E53" s="31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7" t="s">
        <v>54</v>
      </c>
      <c r="B54" s="7" t="s">
        <v>55</v>
      </c>
      <c r="C54" s="18">
        <v>-9915739.1699999999</v>
      </c>
      <c r="D54" s="18">
        <v>-589663.36</v>
      </c>
      <c r="E54" s="31"/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0"/>
    </row>
    <row r="55" spans="1:16" s="1" customFormat="1" ht="19.7" hidden="1" customHeight="1" x14ac:dyDescent="0.2">
      <c r="A55" s="7" t="s">
        <v>52</v>
      </c>
      <c r="B55" s="7" t="s">
        <v>56</v>
      </c>
      <c r="C55" s="18">
        <v>555637.31999999995</v>
      </c>
      <c r="D55" s="18">
        <v>-2076206.97</v>
      </c>
      <c r="E55" s="31"/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57</v>
      </c>
      <c r="B56" s="7" t="s">
        <v>58</v>
      </c>
      <c r="C56" s="18">
        <v>0</v>
      </c>
      <c r="D56" s="18">
        <v>0</v>
      </c>
      <c r="E56" s="31"/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23</v>
      </c>
      <c r="B57" s="7" t="s">
        <v>59</v>
      </c>
      <c r="C57" s="18">
        <v>0</v>
      </c>
      <c r="D57" s="18">
        <v>0</v>
      </c>
      <c r="E57" s="31"/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60</v>
      </c>
      <c r="B58" s="7" t="s">
        <v>61</v>
      </c>
      <c r="C58" s="18">
        <v>0</v>
      </c>
      <c r="D58" s="18">
        <v>0</v>
      </c>
      <c r="E58" s="31"/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62</v>
      </c>
      <c r="B59" s="7" t="s">
        <v>63</v>
      </c>
      <c r="C59" s="18">
        <v>0</v>
      </c>
      <c r="D59" s="18">
        <v>0</v>
      </c>
      <c r="E59" s="31"/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30.95" hidden="1" customHeight="1" x14ac:dyDescent="0.2">
      <c r="A60" s="7" t="s">
        <v>64</v>
      </c>
      <c r="B60" s="12" t="s">
        <v>65</v>
      </c>
      <c r="C60" s="18">
        <v>0</v>
      </c>
      <c r="D60" s="18">
        <v>0</v>
      </c>
      <c r="E60" s="31"/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customHeight="1" thickBot="1" x14ac:dyDescent="0.25">
      <c r="A61" s="8" t="s">
        <v>66</v>
      </c>
      <c r="B61" s="11"/>
      <c r="C61" s="19">
        <f>SUM(C48:C60)</f>
        <v>-10071021.609999999</v>
      </c>
      <c r="D61" s="19">
        <f>SUM(D48:D60)</f>
        <v>-2775027.34</v>
      </c>
      <c r="E61" s="32"/>
      <c r="F61" s="19">
        <v>-1200000</v>
      </c>
      <c r="G61" s="19">
        <v>-1200000</v>
      </c>
      <c r="H61" s="19">
        <v>-1200000</v>
      </c>
      <c r="I61" s="19">
        <v>-1200000</v>
      </c>
      <c r="J61" s="19">
        <v>-1200000</v>
      </c>
      <c r="K61" s="19">
        <v>-1200000</v>
      </c>
      <c r="L61" s="19">
        <v>-1200000</v>
      </c>
      <c r="M61" s="19">
        <v>-1200000</v>
      </c>
      <c r="N61" s="19">
        <v>-1200000</v>
      </c>
      <c r="O61" s="19">
        <v>-1200000</v>
      </c>
      <c r="P61" s="38"/>
    </row>
    <row r="62" spans="1:16" s="1" customFormat="1" ht="18.2" customHeight="1" x14ac:dyDescent="0.2">
      <c r="A62" s="6"/>
      <c r="B62" s="6"/>
      <c r="C62" s="17"/>
      <c r="D62" s="17"/>
      <c r="E62" s="30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30"/>
    </row>
    <row r="63" spans="1:16" s="1" customFormat="1" ht="19.7" customHeight="1" thickBot="1" x14ac:dyDescent="0.25">
      <c r="A63" s="13" t="s">
        <v>67</v>
      </c>
      <c r="B63" s="14"/>
      <c r="C63" s="20">
        <f>C3+C45+C61</f>
        <v>17276325.860000003</v>
      </c>
      <c r="D63" s="20">
        <f>D3+D45+D61</f>
        <v>16141735.990000002</v>
      </c>
      <c r="E63" s="34"/>
      <c r="F63" s="20">
        <f>F3+F45+F61</f>
        <v>14916866.058</v>
      </c>
      <c r="G63" s="20">
        <f t="shared" ref="G63:O63" si="18">G3+G45+G61</f>
        <v>13691996.125999998</v>
      </c>
      <c r="H63" s="20">
        <f t="shared" si="18"/>
        <v>12467126.193999996</v>
      </c>
      <c r="I63" s="20">
        <f t="shared" si="18"/>
        <v>11242256.261999995</v>
      </c>
      <c r="J63" s="20">
        <f t="shared" si="18"/>
        <v>10017386.329999993</v>
      </c>
      <c r="K63" s="20">
        <f t="shared" si="18"/>
        <v>8792516.3979999907</v>
      </c>
      <c r="L63" s="20">
        <f t="shared" si="18"/>
        <v>7567646.4659999888</v>
      </c>
      <c r="M63" s="20">
        <f t="shared" si="18"/>
        <v>6342776.5339999869</v>
      </c>
      <c r="N63" s="20">
        <f t="shared" si="18"/>
        <v>5117906.6019999851</v>
      </c>
      <c r="O63" s="20">
        <f t="shared" si="18"/>
        <v>3893036.6699999832</v>
      </c>
      <c r="P63" s="39"/>
    </row>
    <row r="64" spans="1:16" s="1" customFormat="1" ht="28.7" customHeight="1" x14ac:dyDescent="0.2">
      <c r="C64" s="21"/>
      <c r="D64" s="21"/>
      <c r="E64" s="35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</sheetData>
  <sheetProtection algorithmName="SHA-512" hashValue="/BUTc5frq20V9NqMYOlbL+vKbSXW5iyyyFRJ8QMRAOy9hlvnoGoKRDzcag1mXoQ+wmw/SOg3+4UoYLVFr730dQ==" saltValue="+YKWgmkBEgj4U03mafiaUg==" spinCount="100000" sheet="1" objects="1" scenarios="1"/>
  <mergeCells count="2">
    <mergeCell ref="A1:B1"/>
    <mergeCell ref="F1:H1"/>
  </mergeCells>
  <pageMargins left="0.7" right="0.7" top="0.75" bottom="0.75" header="0.3" footer="0.3"/>
  <pageSetup paperSize="9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5.31.24</vt:lpstr>
      <vt:lpstr>4.30.24</vt:lpstr>
      <vt:lpstr>2.29.24</vt:lpstr>
      <vt:lpstr>1.31.24</vt:lpstr>
      <vt:lpstr>12.31.23</vt:lpstr>
      <vt:lpstr>11.30.23</vt:lpstr>
      <vt:lpstr>10.31.23</vt:lpstr>
      <vt:lpstr>9.30.23</vt:lpstr>
      <vt:lpstr>8.31.23</vt:lpstr>
      <vt:lpstr>7.30.23</vt:lpstr>
      <vt:lpstr>'1.31.24'!Print_Area</vt:lpstr>
      <vt:lpstr>'10.31.23'!Print_Area</vt:lpstr>
      <vt:lpstr>'11.30.23'!Print_Area</vt:lpstr>
      <vt:lpstr>'12.31.23'!Print_Area</vt:lpstr>
      <vt:lpstr>'2.29.24'!Print_Area</vt:lpstr>
      <vt:lpstr>'4.30.24'!Print_Area</vt:lpstr>
      <vt:lpstr>'5.31.24'!Print_Area</vt:lpstr>
      <vt:lpstr>'7.30.23'!Print_Area</vt:lpstr>
      <vt:lpstr>'8.31.23'!Print_Area</vt:lpstr>
      <vt:lpstr>'9.30.23'!Print_Area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Terry Flexser</cp:lastModifiedBy>
  <cp:lastPrinted>2023-09-06T18:55:48Z</cp:lastPrinted>
  <dcterms:created xsi:type="dcterms:W3CDTF">2023-09-05T21:03:37Z</dcterms:created>
  <dcterms:modified xsi:type="dcterms:W3CDTF">2024-06-20T22:59:21Z</dcterms:modified>
</cp:coreProperties>
</file>